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040" tabRatio="598" activeTab="3"/>
  </bookViews>
  <sheets>
    <sheet name="รายงานรับ-จ่ายเงิน(กย)" sheetId="1" r:id="rId1"/>
    <sheet name="เงินรับฝาก" sheetId="2" r:id="rId2"/>
    <sheet name="งบทดลอง" sheetId="3" r:id="rId3"/>
    <sheet name="หมายเหตุ 1 รายงานรับ-จ่ายเงินสด" sheetId="4" r:id="rId4"/>
  </sheets>
  <definedNames/>
  <calcPr fullCalcOnLoad="1"/>
</workbook>
</file>

<file path=xl/sharedStrings.xml><?xml version="1.0" encoding="utf-8"?>
<sst xmlns="http://schemas.openxmlformats.org/spreadsheetml/2006/main" count="406" uniqueCount="299">
  <si>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</si>
  <si>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</si>
  <si>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</si>
  <si>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</si>
  <si>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</si>
  <si>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</si>
  <si>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เงินฝากธนาคาร ธกส(ออมทรัพย์) เลขที่ 890-2-44353-8</t>
  </si>
  <si>
    <t>เงินฝากธนาคาร ธกส.(ออมทรัพย์) เลขที่ 890-2-46698-0</t>
  </si>
  <si>
    <t>เงินฝากธนาคาร กรุงไทย(ออมทรัพย์) เลขที่ 814-0-00415-4</t>
  </si>
  <si>
    <t>รายจ่ายตามงบประมาณ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</si>
  <si>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</si>
  <si>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</si>
  <si>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</si>
  <si>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</si>
  <si>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</si>
  <si>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</si>
  <si>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</si>
  <si>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</si>
  <si>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</si>
  <si>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 xml:space="preserve"> </t>
  </si>
  <si>
    <t>รายจ่ายค้างจ่าย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</si>
  <si>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</si>
  <si>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</si>
  <si>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</si>
  <si>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</si>
  <si>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รับเดือนนี้</t>
  </si>
  <si>
    <t>จ่ายเดือนนี้</t>
  </si>
  <si>
    <t>ยอดยกไปเดือนหน้า</t>
  </si>
  <si>
    <t>เงินค่าใช้จ่าย ภบท. 5%</t>
  </si>
  <si>
    <t>เงินรับฝาก - ส่วนลด 6 %</t>
  </si>
  <si>
    <t>ภาษี หัก  ณ  ที่จ่าย</t>
  </si>
  <si>
    <t>เงินรับฝาก - โครงการเศรษฐกิจชุมชน</t>
  </si>
  <si>
    <t>รวมสุทธิ</t>
  </si>
  <si>
    <t>อำเภอฉวาง   จังหวัดนครศรีธรรมราช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</si>
  <si>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</si>
  <si>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</si>
  <si>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</si>
  <si>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</si>
  <si>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</si>
  <si>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</si>
  <si>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</si>
  <si>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</si>
  <si>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</si>
  <si>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</si>
  <si>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</si>
  <si>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</si>
  <si>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</si>
  <si>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</si>
  <si>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</si>
  <si>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</si>
  <si>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</si>
  <si>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</si>
  <si>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</si>
  <si>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</si>
  <si>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</si>
  <si>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</si>
  <si>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</si>
  <si>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</si>
  <si>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</si>
  <si>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</si>
  <si>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</si>
  <si>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</si>
  <si>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</si>
  <si>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</si>
  <si>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 xml:space="preserve">              งบกลาง (สำรองจ่าย )</t>
  </si>
  <si>
    <t xml:space="preserve">              งบกลาง (ประกันสังคม)</t>
  </si>
  <si>
    <t xml:space="preserve">              เงินเดือน (ฝ่ายการเมือง)</t>
  </si>
  <si>
    <t xml:space="preserve">              เงินเดือน (ฝ่ายประจำ)</t>
  </si>
  <si>
    <t xml:space="preserve">              ค่าตอบแทน</t>
  </si>
  <si>
    <t xml:space="preserve">              ค่าใช้สอย</t>
  </si>
  <si>
    <t xml:space="preserve">              ค่าวัสดุ</t>
  </si>
  <si>
    <t xml:space="preserve">              ค่าสาธารณูปโภค</t>
  </si>
  <si>
    <t xml:space="preserve">              เงินอุดหนุน</t>
  </si>
  <si>
    <t xml:space="preserve">              ค่าครุภัณฑ์</t>
  </si>
  <si>
    <t xml:space="preserve">              ค่าที่ดินและสิ่งก่อสร้าง</t>
  </si>
  <si>
    <t xml:space="preserve">              รายจ่ายอื่น</t>
  </si>
  <si>
    <t xml:space="preserve">             บัญชีเงินสะสม (จ่ายขาดสะสม)</t>
  </si>
  <si>
    <t>ลูกหนี้ง/ย-เงินสะสมเงินอุดหนุนเบี้ยผู้สูงอายุ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</si>
  <si>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</si>
  <si>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</si>
  <si>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</si>
  <si>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</si>
  <si>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</si>
  <si>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งบกลาง</t>
  </si>
  <si>
    <t>อำเภอฉวาง  จังหวัดนครศรีธรรมราช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</si>
  <si>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</si>
  <si>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</si>
  <si>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</si>
  <si>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</si>
  <si>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</si>
  <si>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</si>
  <si>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</si>
  <si>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</si>
  <si>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</si>
  <si>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</si>
  <si>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</si>
  <si>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2) รายได้เบ็ดเตล็ดอื่นๆ</t>
  </si>
  <si>
    <t>3) เงินที่มีผู้อุทิศให้</t>
  </si>
  <si>
    <t>รวมรายรับจริง</t>
  </si>
  <si>
    <t>รายได้ที่รัฐบาลจัดสรรให้องค์กรปกครองส่วนท้องถิ่น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</si>
  <si>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</si>
  <si>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</si>
  <si>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</si>
  <si>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</si>
  <si>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</si>
  <si>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</si>
  <si>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</si>
  <si>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</si>
  <si>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>เงินสะสม</t>
  </si>
  <si>
    <t>เงินทุนสำรองเงินสะสม</t>
  </si>
  <si>
    <t>เงินรับฝาก - ประกันสังคม</t>
  </si>
  <si>
    <t>รับคืนเงินงบกลาง-เบี้ยผู้สูงอายุ-พิการ</t>
  </si>
  <si>
    <t xml:space="preserve">              </t>
  </si>
  <si>
    <t>หมวดภาษีจัดสรร</t>
  </si>
  <si>
    <t>ลูกหนี้-ค่าน้ำประปา</t>
  </si>
  <si>
    <t>ลูกหนี้-เงินยืมเงินงบประมาณ</t>
  </si>
  <si>
    <t xml:space="preserve">              งบกลาง (รายจ่ายตามข้อผูกพัน)</t>
  </si>
  <si>
    <t xml:space="preserve">              งบกลาง (กบท)</t>
  </si>
  <si>
    <t>เงินฝาก ก.ส.ท.</t>
  </si>
  <si>
    <t>1) ค่าขายแบบแปลน</t>
  </si>
  <si>
    <t>1) เงินอุดหนุน-ยาเสพติด</t>
  </si>
  <si>
    <t>ลูกหนี้ - ค่าน้ำประปา</t>
  </si>
  <si>
    <t>หมวดเงินอุดหนุนทั่วไป</t>
  </si>
  <si>
    <t>รวมเงินอุดหนุนทั่วไป</t>
  </si>
  <si>
    <t xml:space="preserve">              เงินฝาก กสท.</t>
  </si>
  <si>
    <t>หมายเหตุ 3  (ลูกหนี้เงินยืมสะสม  )   ประกอบงบการเงิน กันยายน 2558</t>
  </si>
  <si>
    <t>ลูกหนี้เงินอุดหนุนระบุวัตถุประสงค์-ค่าตอบแทนครูวัดควนสูง</t>
  </si>
  <si>
    <t>ลูกหนี้เงินอุดหนุนระบุวัตถุประสงค์-ค่าตอบแทนครูศพด.ทต.ปากน้ำฉวาง</t>
  </si>
  <si>
    <t>ลูกหนี้เงินอุดหนุนระบุวัตถุประสงค์-ประกันสังคมวัดควนสูง</t>
  </si>
  <si>
    <t>ลูกหนี้เงินอุดหนุนระบุวัตถุประสงค์-ประกันสังคมศพด.ทต.ปากน้ำฉวาง</t>
  </si>
  <si>
    <t>(บาท)</t>
  </si>
  <si>
    <t>หมวดรายได้จากทุน</t>
  </si>
  <si>
    <t>1) ค่าขายทอดตลาดทรัพย์สิน</t>
  </si>
  <si>
    <t>7) ค่าภาคหลวงแร่</t>
  </si>
  <si>
    <t>2) เงินอุดหนุน  -  เบี้ยยังชีพผู้สูงอายุ</t>
  </si>
  <si>
    <t>3) เงินอุดหนุน - เบี้ยยังชีพคนพิการ</t>
  </si>
  <si>
    <t>รายได้รัฐบาลค้างรับ</t>
  </si>
  <si>
    <t>รายได้จากทุน</t>
  </si>
  <si>
    <t>2) ภาษีมูลค่าเพิ่ม (ตามพรบ.กำหนดแผนฯ)</t>
  </si>
  <si>
    <t>8) ค่าภาคหลวงปิโตรเลียม</t>
  </si>
  <si>
    <t>ลูกหนี้ง/ยเงินสะสมเงินอุดหนุนค่าตอบแทนครูศพด.ทต.ปากน้ำฉวาง</t>
  </si>
  <si>
    <t>ลูกหนี้ง/ยเงินสะสมเงินอุดหนุนค่าตอบแทนครูวัดควนสูง</t>
  </si>
  <si>
    <t>ลูกหนี้ง/ยเงินสะสมเงินอุดหนุนประกันสังคม(ศพด.ทต.)</t>
  </si>
  <si>
    <t>รับคืนเงินค่าลงทะเบียน</t>
  </si>
  <si>
    <t>เฉพาะกิจ(บาท)</t>
  </si>
  <si>
    <t>เงินอุดหนุนเฉพาะกิจ</t>
  </si>
  <si>
    <t xml:space="preserve">              เงินอุดหนุนเฉพาะกิจ</t>
  </si>
  <si>
    <t>ลูกหนี้-เงินสะสม</t>
  </si>
  <si>
    <t>รายได้จากรัฐบาลค้างรับ</t>
  </si>
  <si>
    <t>เจ้าหนี้เงินสะสม</t>
  </si>
  <si>
    <t>หมวดเงินอุดหนุนเฉพาะกิจ</t>
  </si>
  <si>
    <t>11) ค่าใบอนุญาตเกี่ยวกับการควบคุมอาคาร</t>
  </si>
  <si>
    <t>40000000</t>
  </si>
  <si>
    <t>5320000</t>
  </si>
  <si>
    <t>31000000</t>
  </si>
  <si>
    <t>11044000</t>
  </si>
  <si>
    <t>11041000</t>
  </si>
  <si>
    <t>5120100</t>
  </si>
  <si>
    <t>5110300</t>
  </si>
  <si>
    <t>5110800</t>
  </si>
  <si>
    <t>5110700</t>
  </si>
  <si>
    <t>5110900</t>
  </si>
  <si>
    <t>5111000</t>
  </si>
  <si>
    <t>5111100</t>
  </si>
  <si>
    <t>5210000</t>
  </si>
  <si>
    <t>11012001</t>
  </si>
  <si>
    <t>11032000</t>
  </si>
  <si>
    <t>11047000</t>
  </si>
  <si>
    <t>11042000</t>
  </si>
  <si>
    <t>51000000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</si>
  <si>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</si>
  <si>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</si>
  <si>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</si>
  <si>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</si>
  <si>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</si>
  <si>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</si>
  <si>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</si>
  <si>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</si>
  <si>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21010000</t>
  </si>
  <si>
    <t>29010000</t>
  </si>
  <si>
    <t>44000000</t>
  </si>
  <si>
    <t>32000000</t>
  </si>
  <si>
    <t>21040000</t>
  </si>
  <si>
    <t>41100000</t>
  </si>
  <si>
    <t>41210018</t>
  </si>
  <si>
    <t>41239999</t>
  </si>
  <si>
    <t>41399999</t>
  </si>
  <si>
    <t>41599999</t>
  </si>
  <si>
    <t>41500003</t>
  </si>
  <si>
    <t>10)ภาษีจัดสรรอื่น ฯ</t>
  </si>
  <si>
    <t>41000000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</si>
  <si>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</si>
  <si>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</si>
  <si>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</si>
  <si>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</si>
  <si>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</si>
  <si>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</si>
  <si>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</si>
  <si>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</si>
  <si>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>114041000</t>
  </si>
  <si>
    <t>5220000</t>
  </si>
  <si>
    <t>5310000</t>
  </si>
  <si>
    <t>5330000</t>
  </si>
  <si>
    <t>5340000</t>
  </si>
  <si>
    <t>5600000</t>
  </si>
  <si>
    <t>5410000</t>
  </si>
  <si>
    <t>5420000</t>
  </si>
  <si>
    <t>5500000</t>
  </si>
  <si>
    <t>เงินรับฝาก - หลักประกันซอง</t>
  </si>
  <si>
    <t>เงินรับฝาก- สหกรณ์ออมทรัพย์</t>
  </si>
  <si>
    <t xml:space="preserve">             บัญชีเงินทุนสำรองเงินสะสม </t>
  </si>
  <si>
    <t>3) ภาษีมูลค่าเพิ่มตามพรบ.จัดสรรรายได้ฯ</t>
  </si>
  <si>
    <t>9) ค่าธรรมเนียมจดทะเบียนสิทธิและนิติกรรมประมวลกฎหมายที่ดิน</t>
  </si>
  <si>
    <t xml:space="preserve">              งบกลาง (เบี้ยยังชีพผู้ป่วยเอดส์)</t>
  </si>
  <si>
    <t xml:space="preserve">              งบกลาง (เบี้ยยังชีพคนชรา)</t>
  </si>
  <si>
    <t xml:space="preserve">              งบกลาง (เบี้ยยังชีพคนพิการ)</t>
  </si>
  <si>
    <t>เงินขาดบัญชี</t>
  </si>
  <si>
    <t>เงินรับฝาก - สปสช.</t>
  </si>
  <si>
    <t>เงินรับฝาก - เงินหลักประกันสัญญา</t>
  </si>
  <si>
    <r>
      <t>รายรับ</t>
    </r>
    <r>
      <rPr>
        <b/>
        <sz val="11.5"/>
        <rFont val="TH SarabunPSK"/>
        <family val="2"/>
      </rPr>
      <t xml:space="preserve"> </t>
    </r>
  </si>
  <si>
    <r>
      <t xml:space="preserve">เงินรับฝาก </t>
    </r>
    <r>
      <rPr>
        <b/>
        <u val="single"/>
        <sz val="11.5"/>
        <rFont val="TH SarabunPSK"/>
        <family val="2"/>
      </rPr>
      <t xml:space="preserve"> (หมายเหตุ 2)</t>
    </r>
  </si>
  <si>
    <t>หน้าที่ 2</t>
  </si>
  <si>
    <t>หน้าที่ 3</t>
  </si>
  <si>
    <t>11011000</t>
  </si>
  <si>
    <t>19040000</t>
  </si>
  <si>
    <t>56100000</t>
  </si>
  <si>
    <r>
      <t>ร</t>
    </r>
    <r>
      <rPr>
        <b/>
        <u val="single"/>
        <sz val="16"/>
        <rFont val="TH SarabunPSK"/>
        <family val="2"/>
      </rPr>
      <t>ายได้จัดเก็บเอง</t>
    </r>
  </si>
  <si>
    <t>2) โครงการก่อสร้างระบบประปาหมู่บ้าน ม.7 บ้านควนเถี๊ยะ</t>
  </si>
  <si>
    <t>41100001</t>
  </si>
  <si>
    <t>41100002</t>
  </si>
  <si>
    <t>41100003</t>
  </si>
  <si>
    <t>41210008</t>
  </si>
  <si>
    <t>41210007</t>
  </si>
  <si>
    <t>41210004</t>
  </si>
  <si>
    <t>41210029</t>
  </si>
  <si>
    <t>41210030</t>
  </si>
  <si>
    <t>41220002</t>
  </si>
  <si>
    <t>41230007</t>
  </si>
  <si>
    <t>1) ค่าธรรมเนียมเก็บและขนขยะมูลฝอย</t>
  </si>
  <si>
    <t>2) ค่าธรรมเนียมจดทะเบียนพาณิชย์</t>
  </si>
  <si>
    <t>3) ค่าธรรมเนียมเกี่ยวกับการควบคุมอาคาร</t>
  </si>
  <si>
    <t>4) ค่าธรรมเนียมตามประมวลกฎหมายที่ดินมาตรา 9</t>
  </si>
  <si>
    <t>5) ค่าธรรมเนียมเกี่ยวกับใบอนุญาตการขายสุรา</t>
  </si>
  <si>
    <t>6) ค่าธรรมเนียมกำจัดขยะมูลฝอย</t>
  </si>
  <si>
    <t>7) ค่าธรรมเนียมอื่นๆ</t>
  </si>
  <si>
    <t>8) ค่าปรับผู้กระทำผิดกฎหมายจราจรทางบก</t>
  </si>
  <si>
    <t>9) ค่าปรับผู้กระทำผิดกฎหมายและข้อบังคับท้องถิ่น</t>
  </si>
  <si>
    <t>10) ค่าปรับการผิดสัญญา</t>
  </si>
  <si>
    <t xml:space="preserve">12) ค่าใบอนุญาตอื่น ๆ </t>
  </si>
  <si>
    <t>41500004</t>
  </si>
  <si>
    <t>41600001</t>
  </si>
  <si>
    <t>รายได้ที่รัฐบาลอุดหนุนให้องค์กรปกครองส่วนท้องถิ่น</t>
  </si>
  <si>
    <t>ปีงบประมาณ 2560</t>
  </si>
  <si>
    <t>รายงาน  รับ  -   จ่ายเงิน</t>
  </si>
  <si>
    <r>
      <t xml:space="preserve">บัญชีเงินรายรับ </t>
    </r>
    <r>
      <rPr>
        <b/>
        <sz val="16"/>
        <rFont val="TH SarabunPSK"/>
        <family val="2"/>
      </rPr>
      <t>(หมายเหตุ 1)</t>
    </r>
  </si>
  <si>
    <r>
      <t xml:space="preserve">เงินรับฝาก </t>
    </r>
    <r>
      <rPr>
        <b/>
        <sz val="16"/>
        <rFont val="TH SarabunPSK"/>
        <family val="2"/>
      </rPr>
      <t xml:space="preserve"> (หมายเหตุ  2)</t>
    </r>
  </si>
  <si>
    <t>1) รายได้จากสาธารณูปโภคและการพาณิชย์</t>
  </si>
  <si>
    <t>2)  รายได้จากทรัพย์สินอื่น ๆ</t>
  </si>
  <si>
    <t>4) ค่าตอบแทนหน่วยบริการแพทย์ฉุกเฉิน</t>
  </si>
  <si>
    <t>5) เงินอุดหนุน-ศูนย์อบรมเด็กก่อนเกณฑ์วัดควนสูง</t>
  </si>
  <si>
    <t>6) เงินอุดหนุน-ศพด.ทต ปากน้ำฉวาง</t>
  </si>
  <si>
    <t>7) เงินอุดหนุน-ค่าจัดการเรียนการสอน</t>
  </si>
  <si>
    <t>8) เงินอุดหนุน-อาหารกลางวัน</t>
  </si>
  <si>
    <t>9) เงินอุดหนุน - อาหารเสริมนม</t>
  </si>
  <si>
    <t>4) เงินอุดหนุน - ผู้ป่วยเอดส์</t>
  </si>
  <si>
    <t xml:space="preserve">เทศบาลตำบลปากน้ำฉวาง </t>
  </si>
  <si>
    <t>รายละเอียด ประกอบงบทดลองและรายงานรับ - จ่ายเงิน</t>
  </si>
  <si>
    <t>เงินรับฝาก (หมายเหตุ 2)</t>
  </si>
  <si>
    <t>หมายเหตุ 1</t>
  </si>
  <si>
    <t>รายรับจริงประกอบงบทดลองและรายงานรับ - จ่ายเงิน</t>
  </si>
  <si>
    <t>ปฐมวัย=226800/ประถม=306000</t>
  </si>
  <si>
    <t>ปฐมวัย=90540/ประถม=146593</t>
  </si>
  <si>
    <t>11) เงินอุดหนุน - สวัสดิการช่วยเหลือการศึกษาบุตร</t>
  </si>
  <si>
    <t>12) เงินอุดหนุนทั่วไป (ตามอำนาจหน้าที่และภารกิจถ่ายโอน)</t>
  </si>
  <si>
    <t>10) เงินอุดหนุน-เงินเดือน/ค่าตอบแทน/เงินเพิ่ม/สวัสดิการฯลฯ(ตกเบิก)</t>
  </si>
  <si>
    <t xml:space="preserve">              ลูกหนี้รายได้อื่น ๆ</t>
  </si>
  <si>
    <t>1) โครงการก่อสร้างระบบประปาหมู่บ้าน ม.6 บ้านวังขวาง ตำบลฉวาง</t>
  </si>
  <si>
    <t>เงินอุดหนุนเฉพาะกิจ-โครงการก่อสร้างระบบประปาหมู่บ้าน ม. 6</t>
  </si>
  <si>
    <t xml:space="preserve">              ลูกหนี้เงินยืมเงิน  - งบประมาณ</t>
  </si>
  <si>
    <r>
      <t xml:space="preserve">              บัญชีเงินรับฝาก  </t>
    </r>
    <r>
      <rPr>
        <b/>
        <sz val="11"/>
        <rFont val="TH SarabunPSK"/>
        <family val="2"/>
      </rPr>
      <t>(หมายเหตุ 2)</t>
    </r>
  </si>
  <si>
    <t>เงินรับฝาก- (เงินเดือนตกเบิก ศพด.)</t>
  </si>
  <si>
    <t>ณ วันที่ 30 กันยายน 2560</t>
  </si>
  <si>
    <t>ปีงบประมาณ  2560  ประจำเดือนกันยายน พ.ศ. 2560</t>
  </si>
  <si>
    <t xml:space="preserve">  ณ วันที่ 30 กันยายน 2560</t>
  </si>
  <si>
    <t xml:space="preserve">              ลูกหนี้ - เงินสะสม</t>
  </si>
  <si>
    <t>เงินอุดหนุนเฉพาะกิจ-ค่าที่ดินและสิ่งก่อสร้าง (ประปา ม.6)</t>
  </si>
  <si>
    <t xml:space="preserve">              รายจ่ายค้างจ่าย (หมายเหตุ 3)</t>
  </si>
  <si>
    <t>เงินรับฝาก - รอคืนจังหวัด (ค่าปรับผิดสัญญา)</t>
  </si>
  <si>
    <t>เงินรับฝาก- รอคืนจังหวัด (เบี้ยผู้สูงอายุ-คนพิการ-วัสดุการศึกษา)</t>
  </si>
  <si>
    <t>รายจ่ายค้างจ่าย (หมายเหตุ 3)</t>
  </si>
  <si>
    <t>หมวดที่จ่าย</t>
  </si>
  <si>
    <t>งบประมาณ</t>
  </si>
  <si>
    <t>ใช้ไปเดือนนี้</t>
  </si>
  <si>
    <t>ใช้ไปทั้งหมด</t>
  </si>
  <si>
    <t>คงเหลือ</t>
  </si>
  <si>
    <t>ค่าที่ดินและสิ่งก่อสร้าง (เงินอุดหนุนเฉพาะกิจ)</t>
  </si>
  <si>
    <t>ค่าที่ดินและสิ่งก่อสร้าง (เงินงบประมาณ)</t>
  </si>
  <si>
    <t>ค่าใช้สอย (เงินงบประมาณ)</t>
  </si>
  <si>
    <t>ค่าครุภัณฑ์ (เงินงบประมาณ)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</si>
</sst>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_-;\-* #,##0.00_-;_-* &quot;-&quot;_-;_-@_-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1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b/>
      <sz val="8"/>
      <name val="TH SarabunPSK"/>
      <family val="2"/>
    </font>
    <font>
      <b/>
      <u val="single"/>
      <sz val="11.5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u val="single"/>
      <sz val="16"/>
      <name val="TH SarabunPSK"/>
      <family val="2"/>
    </font>
    <font>
      <sz val="8"/>
      <name val="TH SarabunPSK"/>
      <family val="2"/>
    </font>
    <font>
      <sz val="13.2"/>
      <name val="TH SarabunPSK"/>
      <family val="2"/>
    </font>
    <font>
      <b/>
      <sz val="11"/>
      <name val="TH SarabunPSK"/>
      <family val="2"/>
    </font>
    <font>
      <b/>
      <sz val="14.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double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4" fillId="0" borderId="0" xfId="0" applyFont="1" applyAlignment="1">
      <alignment/>
    </xf>
    <xf numFmtId="187" fontId="4" fillId="0" borderId="0" xfId="36" applyNumberFormat="1" applyFont="1" applyAlignment="1">
      <alignment/>
    </xf>
    <xf numFmtId="187" fontId="7" fillId="33" borderId="10" xfId="36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87" fontId="4" fillId="0" borderId="12" xfId="36" applyNumberFormat="1" applyFont="1" applyBorder="1" applyAlignment="1">
      <alignment/>
    </xf>
    <xf numFmtId="187" fontId="4" fillId="0" borderId="12" xfId="36" applyNumberFormat="1" applyFont="1" applyBorder="1" applyAlignment="1">
      <alignment horizontal="right"/>
    </xf>
    <xf numFmtId="187" fontId="4" fillId="0" borderId="13" xfId="36" applyNumberFormat="1" applyFont="1" applyBorder="1" applyAlignment="1">
      <alignment horizontal="right"/>
    </xf>
    <xf numFmtId="187" fontId="4" fillId="0" borderId="14" xfId="36" applyNumberFormat="1" applyFont="1" applyBorder="1" applyAlignment="1">
      <alignment/>
    </xf>
    <xf numFmtId="187" fontId="7" fillId="0" borderId="15" xfId="36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87" fontId="4" fillId="0" borderId="16" xfId="36" applyNumberFormat="1" applyFont="1" applyBorder="1" applyAlignment="1">
      <alignment horizontal="left"/>
    </xf>
    <xf numFmtId="187" fontId="4" fillId="0" borderId="0" xfId="36" applyNumberFormat="1" applyFont="1" applyBorder="1" applyAlignment="1">
      <alignment/>
    </xf>
    <xf numFmtId="187" fontId="4" fillId="0" borderId="16" xfId="36" applyNumberFormat="1" applyFont="1" applyBorder="1" applyAlignment="1">
      <alignment/>
    </xf>
    <xf numFmtId="187" fontId="7" fillId="0" borderId="17" xfId="36" applyNumberFormat="1" applyFont="1" applyBorder="1" applyAlignment="1">
      <alignment/>
    </xf>
    <xf numFmtId="187" fontId="7" fillId="0" borderId="18" xfId="36" applyNumberFormat="1" applyFont="1" applyBorder="1" applyAlignment="1">
      <alignment/>
    </xf>
    <xf numFmtId="187" fontId="7" fillId="0" borderId="0" xfId="36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87" fontId="12" fillId="33" borderId="19" xfId="36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187" fontId="12" fillId="33" borderId="12" xfId="36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87" fontId="12" fillId="33" borderId="21" xfId="36" applyNumberFormat="1" applyFont="1" applyFill="1" applyBorder="1" applyAlignment="1">
      <alignment horizontal="center"/>
    </xf>
    <xf numFmtId="187" fontId="14" fillId="33" borderId="21" xfId="36" applyNumberFormat="1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187" fontId="13" fillId="0" borderId="20" xfId="36" applyNumberFormat="1" applyFont="1" applyBorder="1" applyAlignment="1">
      <alignment/>
    </xf>
    <xf numFmtId="187" fontId="13" fillId="0" borderId="12" xfId="36" applyNumberFormat="1" applyFont="1" applyBorder="1" applyAlignment="1">
      <alignment/>
    </xf>
    <xf numFmtId="187" fontId="13" fillId="0" borderId="12" xfId="36" applyNumberFormat="1" applyFont="1" applyBorder="1" applyAlignment="1">
      <alignment horizontal="right"/>
    </xf>
    <xf numFmtId="43" fontId="16" fillId="35" borderId="19" xfId="36" applyFont="1" applyFill="1" applyBorder="1" applyAlignment="1">
      <alignment/>
    </xf>
    <xf numFmtId="187" fontId="16" fillId="0" borderId="22" xfId="36" applyNumberFormat="1" applyFont="1" applyBorder="1" applyAlignment="1">
      <alignment/>
    </xf>
    <xf numFmtId="187" fontId="13" fillId="0" borderId="0" xfId="36" applyNumberFormat="1" applyFont="1" applyAlignment="1">
      <alignment/>
    </xf>
    <xf numFmtId="0" fontId="13" fillId="0" borderId="0" xfId="0" applyFont="1" applyAlignment="1">
      <alignment/>
    </xf>
    <xf numFmtId="187" fontId="12" fillId="0" borderId="19" xfId="36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87" fontId="12" fillId="0" borderId="0" xfId="36" applyNumberFormat="1" applyFont="1" applyBorder="1" applyAlignment="1">
      <alignment/>
    </xf>
    <xf numFmtId="43" fontId="16" fillId="0" borderId="0" xfId="36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0" xfId="0" applyFont="1" applyAlignment="1">
      <alignment/>
    </xf>
    <xf numFmtId="187" fontId="13" fillId="0" borderId="12" xfId="36" applyNumberFormat="1" applyFont="1" applyBorder="1" applyAlignment="1">
      <alignment/>
    </xf>
    <xf numFmtId="187" fontId="13" fillId="0" borderId="12" xfId="36" applyNumberFormat="1" applyFont="1" applyFill="1" applyBorder="1" applyAlignment="1">
      <alignment/>
    </xf>
    <xf numFmtId="187" fontId="13" fillId="0" borderId="22" xfId="36" applyNumberFormat="1" applyFont="1" applyBorder="1" applyAlignment="1">
      <alignment/>
    </xf>
    <xf numFmtId="187" fontId="12" fillId="0" borderId="22" xfId="36" applyNumberFormat="1" applyFont="1" applyBorder="1" applyAlignment="1">
      <alignment/>
    </xf>
    <xf numFmtId="49" fontId="17" fillId="33" borderId="20" xfId="0" applyNumberFormat="1" applyFont="1" applyFill="1" applyBorder="1" applyAlignment="1">
      <alignment horizontal="center"/>
    </xf>
    <xf numFmtId="49" fontId="17" fillId="33" borderId="12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3" borderId="21" xfId="0" applyFont="1" applyFill="1" applyBorder="1" applyAlignment="1">
      <alignment horizontal="center"/>
    </xf>
    <xf numFmtId="187" fontId="13" fillId="0" borderId="20" xfId="36" applyNumberFormat="1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187" fontId="13" fillId="0" borderId="12" xfId="36" applyNumberFormat="1" applyFont="1" applyBorder="1" applyAlignment="1">
      <alignment horizontal="center"/>
    </xf>
    <xf numFmtId="187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87" fontId="13" fillId="0" borderId="0" xfId="36" applyNumberFormat="1" applyFont="1" applyAlignment="1">
      <alignment horizontal="center"/>
    </xf>
    <xf numFmtId="187" fontId="13" fillId="0" borderId="22" xfId="36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43" fontId="16" fillId="35" borderId="19" xfId="36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187" fontId="12" fillId="0" borderId="19" xfId="36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7" fontId="12" fillId="0" borderId="22" xfId="36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59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/>
    </xf>
    <xf numFmtId="0" fontId="7" fillId="0" borderId="23" xfId="0" applyFont="1" applyFill="1" applyBorder="1" applyAlignment="1">
      <alignment horizontal="center" vertical="top"/>
    </xf>
    <xf numFmtId="43" fontId="7" fillId="0" borderId="19" xfId="36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3" fontId="7" fillId="0" borderId="12" xfId="36" applyFont="1" applyFill="1" applyBorder="1" applyAlignment="1">
      <alignment vertical="top"/>
    </xf>
    <xf numFmtId="43" fontId="7" fillId="0" borderId="0" xfId="36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3" fontId="4" fillId="0" borderId="12" xfId="36" applyFont="1" applyFill="1" applyBorder="1" applyAlignment="1">
      <alignment vertical="top"/>
    </xf>
    <xf numFmtId="43" fontId="4" fillId="0" borderId="0" xfId="36" applyFont="1" applyFill="1" applyBorder="1" applyAlignment="1">
      <alignment horizontal="center" vertical="top"/>
    </xf>
    <xf numFmtId="4" fontId="4" fillId="0" borderId="12" xfId="36" applyNumberFormat="1" applyFont="1" applyFill="1" applyBorder="1" applyAlignment="1">
      <alignment vertical="top"/>
    </xf>
    <xf numFmtId="43" fontId="59" fillId="0" borderId="0" xfId="0" applyNumberFormat="1" applyFont="1" applyFill="1" applyAlignment="1">
      <alignment vertical="top"/>
    </xf>
    <xf numFmtId="49" fontId="6" fillId="0" borderId="12" xfId="0" applyNumberFormat="1" applyFont="1" applyFill="1" applyBorder="1" applyAlignment="1">
      <alignment horizontal="center" vertical="top"/>
    </xf>
    <xf numFmtId="43" fontId="4" fillId="0" borderId="13" xfId="36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43" fontId="7" fillId="0" borderId="19" xfId="36" applyFont="1" applyFill="1" applyBorder="1" applyAlignment="1">
      <alignment vertical="top"/>
    </xf>
    <xf numFmtId="43" fontId="7" fillId="0" borderId="23" xfId="36" applyFont="1" applyFill="1" applyBorder="1" applyAlignment="1">
      <alignment horizontal="center" vertical="top"/>
    </xf>
    <xf numFmtId="4" fontId="7" fillId="0" borderId="19" xfId="36" applyNumberFormat="1" applyFont="1" applyFill="1" applyBorder="1" applyAlignment="1">
      <alignment vertical="top"/>
    </xf>
    <xf numFmtId="43" fontId="7" fillId="0" borderId="13" xfId="36" applyFont="1" applyFill="1" applyBorder="1" applyAlignment="1">
      <alignment vertical="top"/>
    </xf>
    <xf numFmtId="0" fontId="59" fillId="0" borderId="0" xfId="0" applyNumberFormat="1" applyFont="1" applyFill="1" applyAlignment="1">
      <alignment vertical="top"/>
    </xf>
    <xf numFmtId="4" fontId="4" fillId="0" borderId="12" xfId="36" applyNumberFormat="1" applyFont="1" applyFill="1" applyBorder="1" applyAlignment="1">
      <alignment horizontal="right" vertical="top"/>
    </xf>
    <xf numFmtId="43" fontId="4" fillId="0" borderId="12" xfId="36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43" fontId="7" fillId="0" borderId="19" xfId="36" applyFont="1" applyFill="1" applyBorder="1" applyAlignment="1">
      <alignment horizontal="right" vertical="top"/>
    </xf>
    <xf numFmtId="43" fontId="4" fillId="0" borderId="0" xfId="36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43" fontId="7" fillId="0" borderId="25" xfId="36" applyFont="1" applyFill="1" applyBorder="1" applyAlignment="1">
      <alignment vertical="top"/>
    </xf>
    <xf numFmtId="43" fontId="4" fillId="0" borderId="20" xfId="36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43" fontId="4" fillId="0" borderId="14" xfId="36" applyFont="1" applyFill="1" applyBorder="1" applyAlignment="1">
      <alignment vertical="top"/>
    </xf>
    <xf numFmtId="0" fontId="7" fillId="0" borderId="21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3" fontId="7" fillId="0" borderId="0" xfId="36" applyFont="1" applyFill="1" applyBorder="1" applyAlignment="1">
      <alignment vertical="top"/>
    </xf>
    <xf numFmtId="4" fontId="7" fillId="0" borderId="0" xfId="36" applyNumberFormat="1" applyFont="1" applyFill="1" applyBorder="1" applyAlignment="1">
      <alignment vertical="top"/>
    </xf>
    <xf numFmtId="3" fontId="7" fillId="0" borderId="19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/>
    </xf>
    <xf numFmtId="43" fontId="7" fillId="0" borderId="14" xfId="36" applyFont="1" applyFill="1" applyBorder="1" applyAlignment="1">
      <alignment vertical="top"/>
    </xf>
    <xf numFmtId="43" fontId="4" fillId="0" borderId="12" xfId="36" applyFont="1" applyFill="1" applyBorder="1" applyAlignment="1">
      <alignment horizontal="center" vertical="top"/>
    </xf>
    <xf numFmtId="43" fontId="4" fillId="0" borderId="14" xfId="36" applyFont="1" applyFill="1" applyBorder="1" applyAlignment="1">
      <alignment horizontal="right" vertical="top"/>
    </xf>
    <xf numFmtId="0" fontId="8" fillId="0" borderId="12" xfId="0" applyFont="1" applyFill="1" applyBorder="1" applyAlignment="1">
      <alignment vertical="top"/>
    </xf>
    <xf numFmtId="43" fontId="4" fillId="0" borderId="21" xfId="36" applyFont="1" applyFill="1" applyBorder="1" applyAlignment="1">
      <alignment vertical="top"/>
    </xf>
    <xf numFmtId="4" fontId="59" fillId="0" borderId="0" xfId="0" applyNumberFormat="1" applyFont="1" applyFill="1" applyAlignment="1">
      <alignment vertical="top"/>
    </xf>
    <xf numFmtId="0" fontId="4" fillId="0" borderId="27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4" fontId="4" fillId="0" borderId="27" xfId="36" applyNumberFormat="1" applyFont="1" applyFill="1" applyBorder="1" applyAlignment="1">
      <alignment vertical="top"/>
    </xf>
    <xf numFmtId="0" fontId="59" fillId="0" borderId="0" xfId="0" applyFont="1" applyFill="1" applyBorder="1" applyAlignment="1">
      <alignment vertical="top"/>
    </xf>
    <xf numFmtId="4" fontId="6" fillId="0" borderId="14" xfId="36" applyNumberFormat="1" applyFont="1" applyFill="1" applyBorder="1" applyAlignment="1">
      <alignment vertical="top"/>
    </xf>
    <xf numFmtId="43" fontId="7" fillId="0" borderId="28" xfId="36" applyFont="1" applyFill="1" applyBorder="1" applyAlignment="1">
      <alignment horizontal="center" vertical="top"/>
    </xf>
    <xf numFmtId="3" fontId="7" fillId="0" borderId="19" xfId="0" applyNumberFormat="1" applyFont="1" applyFill="1" applyBorder="1" applyAlignment="1">
      <alignment horizontal="left" vertical="top" wrapText="1"/>
    </xf>
    <xf numFmtId="4" fontId="7" fillId="0" borderId="21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/>
    </xf>
    <xf numFmtId="3" fontId="7" fillId="0" borderId="21" xfId="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vertical="top"/>
    </xf>
    <xf numFmtId="43" fontId="60" fillId="0" borderId="0" xfId="36" applyFont="1" applyFill="1" applyAlignment="1">
      <alignment vertical="top"/>
    </xf>
    <xf numFmtId="43" fontId="60" fillId="0" borderId="0" xfId="0" applyNumberFormat="1" applyFont="1" applyFill="1" applyAlignment="1">
      <alignment vertical="top"/>
    </xf>
    <xf numFmtId="0" fontId="4" fillId="0" borderId="21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top"/>
    </xf>
    <xf numFmtId="43" fontId="4" fillId="0" borderId="29" xfId="36" applyFont="1" applyFill="1" applyBorder="1" applyAlignment="1">
      <alignment vertical="top"/>
    </xf>
    <xf numFmtId="4" fontId="4" fillId="0" borderId="21" xfId="36" applyNumberFormat="1" applyFont="1" applyFill="1" applyBorder="1" applyAlignment="1">
      <alignment vertical="top"/>
    </xf>
    <xf numFmtId="187" fontId="12" fillId="0" borderId="20" xfId="36" applyNumberFormat="1" applyFont="1" applyBorder="1" applyAlignment="1">
      <alignment/>
    </xf>
    <xf numFmtId="187" fontId="12" fillId="0" borderId="19" xfId="36" applyNumberFormat="1" applyFont="1" applyBorder="1" applyAlignment="1">
      <alignment/>
    </xf>
    <xf numFmtId="40" fontId="12" fillId="0" borderId="1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3" fillId="0" borderId="12" xfId="0" applyFont="1" applyBorder="1" applyAlignment="1">
      <alignment horizontal="left" vertical="top"/>
    </xf>
    <xf numFmtId="187" fontId="13" fillId="0" borderId="12" xfId="36" applyNumberFormat="1" applyFont="1" applyBorder="1" applyAlignment="1">
      <alignment horizontal="center" vertical="top"/>
    </xf>
    <xf numFmtId="187" fontId="16" fillId="0" borderId="13" xfId="36" applyNumberFormat="1" applyFont="1" applyBorder="1" applyAlignment="1">
      <alignment horizontal="center" vertical="top"/>
    </xf>
    <xf numFmtId="187" fontId="13" fillId="0" borderId="13" xfId="36" applyNumberFormat="1" applyFont="1" applyBorder="1" applyAlignment="1">
      <alignment horizontal="center" vertical="top"/>
    </xf>
    <xf numFmtId="187" fontId="16" fillId="0" borderId="20" xfId="36" applyNumberFormat="1" applyFont="1" applyBorder="1" applyAlignment="1">
      <alignment horizontal="center" vertical="top"/>
    </xf>
    <xf numFmtId="187" fontId="13" fillId="0" borderId="20" xfId="36" applyNumberFormat="1" applyFont="1" applyBorder="1" applyAlignment="1">
      <alignment horizontal="center" vertical="top"/>
    </xf>
    <xf numFmtId="187" fontId="12" fillId="0" borderId="30" xfId="36" applyNumberFormat="1" applyFont="1" applyBorder="1" applyAlignment="1">
      <alignment horizontal="center" vertical="top"/>
    </xf>
    <xf numFmtId="187" fontId="12" fillId="0" borderId="22" xfId="36" applyNumberFormat="1" applyFont="1" applyBorder="1" applyAlignment="1">
      <alignment horizontal="center" vertical="top"/>
    </xf>
    <xf numFmtId="187" fontId="12" fillId="0" borderId="19" xfId="36" applyNumberFormat="1" applyFont="1" applyBorder="1" applyAlignment="1">
      <alignment/>
    </xf>
    <xf numFmtId="187" fontId="12" fillId="0" borderId="0" xfId="36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43" fontId="4" fillId="0" borderId="0" xfId="36" applyFont="1" applyAlignment="1">
      <alignment vertical="top"/>
    </xf>
    <xf numFmtId="0" fontId="7" fillId="33" borderId="19" xfId="0" applyFont="1" applyFill="1" applyBorder="1" applyAlignment="1">
      <alignment horizontal="center" vertical="top"/>
    </xf>
    <xf numFmtId="0" fontId="4" fillId="0" borderId="31" xfId="0" applyFont="1" applyBorder="1" applyAlignment="1">
      <alignment vertical="top"/>
    </xf>
    <xf numFmtId="49" fontId="4" fillId="0" borderId="32" xfId="0" applyNumberFormat="1" applyFont="1" applyBorder="1" applyAlignment="1">
      <alignment horizontal="center" vertical="top"/>
    </xf>
    <xf numFmtId="188" fontId="4" fillId="0" borderId="33" xfId="36" applyNumberFormat="1" applyFont="1" applyFill="1" applyBorder="1" applyAlignment="1">
      <alignment horizontal="center" vertical="top"/>
    </xf>
    <xf numFmtId="41" fontId="4" fillId="0" borderId="32" xfId="36" applyNumberFormat="1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0" fontId="4" fillId="0" borderId="33" xfId="0" applyFont="1" applyBorder="1" applyAlignment="1">
      <alignment vertical="top"/>
    </xf>
    <xf numFmtId="49" fontId="4" fillId="0" borderId="33" xfId="0" applyNumberFormat="1" applyFont="1" applyBorder="1" applyAlignment="1">
      <alignment horizontal="center" vertical="top"/>
    </xf>
    <xf numFmtId="188" fontId="4" fillId="0" borderId="33" xfId="36" applyNumberFormat="1" applyFont="1" applyFill="1" applyBorder="1" applyAlignment="1">
      <alignment vertical="top"/>
    </xf>
    <xf numFmtId="41" fontId="4" fillId="0" borderId="33" xfId="36" applyNumberFormat="1" applyFont="1" applyFill="1" applyBorder="1" applyAlignment="1">
      <alignment vertical="top"/>
    </xf>
    <xf numFmtId="188" fontId="4" fillId="0" borderId="0" xfId="0" applyNumberFormat="1" applyFont="1" applyAlignment="1">
      <alignment vertical="top"/>
    </xf>
    <xf numFmtId="188" fontId="4" fillId="0" borderId="33" xfId="36" applyNumberFormat="1" applyFont="1" applyFill="1" applyBorder="1" applyAlignment="1">
      <alignment horizontal="right" vertical="top"/>
    </xf>
    <xf numFmtId="41" fontId="4" fillId="0" borderId="33" xfId="36" applyNumberFormat="1" applyFont="1" applyFill="1" applyBorder="1" applyAlignment="1">
      <alignment horizontal="center" vertical="top"/>
    </xf>
    <xf numFmtId="0" fontId="7" fillId="0" borderId="33" xfId="0" applyFont="1" applyBorder="1" applyAlignment="1">
      <alignment horizontal="left" vertical="top"/>
    </xf>
    <xf numFmtId="49" fontId="4" fillId="0" borderId="33" xfId="0" applyNumberFormat="1" applyFont="1" applyBorder="1" applyAlignment="1">
      <alignment horizontal="justify" vertical="top"/>
    </xf>
    <xf numFmtId="43" fontId="4" fillId="0" borderId="33" xfId="36" applyFont="1" applyFill="1" applyBorder="1" applyAlignment="1">
      <alignment vertical="top"/>
    </xf>
    <xf numFmtId="188" fontId="4" fillId="0" borderId="34" xfId="36" applyNumberFormat="1" applyFont="1" applyFill="1" applyBorder="1" applyAlignment="1">
      <alignment horizontal="center" vertical="top"/>
    </xf>
    <xf numFmtId="187" fontId="4" fillId="0" borderId="33" xfId="36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1" fontId="4" fillId="0" borderId="34" xfId="36" applyNumberFormat="1" applyFont="1" applyFill="1" applyBorder="1" applyAlignment="1">
      <alignment vertical="top"/>
    </xf>
    <xf numFmtId="187" fontId="4" fillId="0" borderId="34" xfId="36" applyNumberFormat="1" applyFont="1" applyFill="1" applyBorder="1" applyAlignment="1">
      <alignment vertical="top"/>
    </xf>
    <xf numFmtId="187" fontId="4" fillId="0" borderId="0" xfId="0" applyNumberFormat="1" applyFont="1" applyAlignment="1">
      <alignment vertical="top"/>
    </xf>
    <xf numFmtId="0" fontId="4" fillId="0" borderId="35" xfId="0" applyFont="1" applyBorder="1" applyAlignment="1">
      <alignment vertical="top"/>
    </xf>
    <xf numFmtId="49" fontId="4" fillId="0" borderId="3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188" fontId="7" fillId="0" borderId="0" xfId="36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187" fontId="13" fillId="0" borderId="19" xfId="36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 vertical="center"/>
    </xf>
    <xf numFmtId="49" fontId="16" fillId="0" borderId="12" xfId="0" applyNumberFormat="1" applyFont="1" applyBorder="1" applyAlignment="1">
      <alignment horizontal="center" vertical="center"/>
    </xf>
    <xf numFmtId="187" fontId="4" fillId="0" borderId="36" xfId="36" applyNumberFormat="1" applyFont="1" applyBorder="1" applyAlignment="1">
      <alignment horizontal="left"/>
    </xf>
    <xf numFmtId="188" fontId="7" fillId="0" borderId="22" xfId="36" applyNumberFormat="1" applyFont="1" applyBorder="1" applyAlignment="1">
      <alignment vertical="top"/>
    </xf>
    <xf numFmtId="4" fontId="61" fillId="0" borderId="12" xfId="0" applyNumberFormat="1" applyFont="1" applyFill="1" applyBorder="1" applyAlignment="1">
      <alignment vertical="top"/>
    </xf>
    <xf numFmtId="4" fontId="61" fillId="0" borderId="12" xfId="36" applyNumberFormat="1" applyFont="1" applyFill="1" applyBorder="1" applyAlignment="1">
      <alignment vertical="top"/>
    </xf>
    <xf numFmtId="4" fontId="61" fillId="0" borderId="12" xfId="0" applyNumberFormat="1" applyFont="1" applyFill="1" applyBorder="1" applyAlignment="1">
      <alignment horizontal="right" vertical="top"/>
    </xf>
    <xf numFmtId="4" fontId="62" fillId="0" borderId="20" xfId="36" applyNumberFormat="1" applyFont="1" applyFill="1" applyBorder="1" applyAlignment="1">
      <alignment vertical="top"/>
    </xf>
    <xf numFmtId="4" fontId="62" fillId="0" borderId="0" xfId="36" applyNumberFormat="1" applyFont="1" applyFill="1" applyBorder="1" applyAlignment="1">
      <alignment vertical="top"/>
    </xf>
    <xf numFmtId="0" fontId="61" fillId="0" borderId="12" xfId="0" applyFont="1" applyFill="1" applyBorder="1" applyAlignment="1">
      <alignment horizontal="center" vertical="top"/>
    </xf>
    <xf numFmtId="0" fontId="61" fillId="0" borderId="12" xfId="0" applyFont="1" applyFill="1" applyBorder="1" applyAlignment="1">
      <alignment vertical="top"/>
    </xf>
    <xf numFmtId="4" fontId="61" fillId="0" borderId="0" xfId="0" applyNumberFormat="1" applyFont="1" applyFill="1" applyAlignment="1">
      <alignment vertical="top"/>
    </xf>
    <xf numFmtId="0" fontId="61" fillId="0" borderId="0" xfId="0" applyFont="1" applyFill="1" applyAlignment="1">
      <alignment vertical="top"/>
    </xf>
    <xf numFmtId="4" fontId="2" fillId="0" borderId="0" xfId="36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top"/>
    </xf>
    <xf numFmtId="4" fontId="4" fillId="0" borderId="13" xfId="0" applyNumberFormat="1" applyFont="1" applyFill="1" applyBorder="1" applyAlignment="1">
      <alignment horizontal="right" vertical="top"/>
    </xf>
    <xf numFmtId="4" fontId="4" fillId="0" borderId="13" xfId="36" applyNumberFormat="1" applyFont="1" applyFill="1" applyBorder="1" applyAlignment="1">
      <alignment vertical="top"/>
    </xf>
    <xf numFmtId="4" fontId="4" fillId="0" borderId="13" xfId="36" applyNumberFormat="1" applyFont="1" applyFill="1" applyBorder="1" applyAlignment="1">
      <alignment horizontal="right" vertical="top"/>
    </xf>
    <xf numFmtId="4" fontId="4" fillId="0" borderId="26" xfId="36" applyNumberFormat="1" applyFont="1" applyFill="1" applyBorder="1" applyAlignment="1">
      <alignment horizontal="right" vertical="top"/>
    </xf>
    <xf numFmtId="4" fontId="7" fillId="0" borderId="37" xfId="0" applyNumberFormat="1" applyFont="1" applyFill="1" applyBorder="1" applyAlignment="1">
      <alignment horizontal="right" vertical="top"/>
    </xf>
    <xf numFmtId="4" fontId="4" fillId="0" borderId="26" xfId="36" applyNumberFormat="1" applyFont="1" applyFill="1" applyBorder="1" applyAlignment="1">
      <alignment vertical="top"/>
    </xf>
    <xf numFmtId="187" fontId="12" fillId="0" borderId="12" xfId="36" applyNumberFormat="1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187" fontId="7" fillId="0" borderId="0" xfId="36" applyNumberFormat="1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Fill="1" applyAlignment="1">
      <alignment horizontal="center" vertical="top"/>
    </xf>
    <xf numFmtId="4" fontId="6" fillId="0" borderId="0" xfId="36" applyNumberFormat="1" applyFont="1" applyFill="1" applyBorder="1" applyAlignment="1">
      <alignment vertical="top"/>
    </xf>
    <xf numFmtId="0" fontId="20" fillId="0" borderId="12" xfId="0" applyFont="1" applyFill="1" applyBorder="1" applyAlignment="1">
      <alignment horizontal="center"/>
    </xf>
    <xf numFmtId="0" fontId="11" fillId="0" borderId="0" xfId="0" applyFont="1" applyAlignment="1">
      <alignment horizontal="left" vertical="top"/>
    </xf>
    <xf numFmtId="187" fontId="13" fillId="0" borderId="38" xfId="36" applyNumberFormat="1" applyFont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6" fillId="0" borderId="33" xfId="0" applyFont="1" applyBorder="1" applyAlignment="1">
      <alignment vertical="top"/>
    </xf>
    <xf numFmtId="43" fontId="16" fillId="36" borderId="19" xfId="36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16" fillId="35" borderId="19" xfId="0" applyFont="1" applyFill="1" applyBorder="1" applyAlignment="1">
      <alignment/>
    </xf>
    <xf numFmtId="43" fontId="16" fillId="36" borderId="19" xfId="36" applyFont="1" applyFill="1" applyBorder="1" applyAlignment="1">
      <alignment horizontal="center" vertical="center"/>
    </xf>
    <xf numFmtId="187" fontId="16" fillId="35" borderId="19" xfId="0" applyNumberFormat="1" applyFont="1" applyFill="1" applyBorder="1" applyAlignment="1">
      <alignment/>
    </xf>
    <xf numFmtId="43" fontId="16" fillId="0" borderId="0" xfId="36" applyFont="1" applyAlignment="1">
      <alignment horizontal="center"/>
    </xf>
    <xf numFmtId="0" fontId="16" fillId="35" borderId="19" xfId="0" applyFont="1" applyFill="1" applyBorder="1" applyAlignment="1">
      <alignment horizontal="center"/>
    </xf>
    <xf numFmtId="43" fontId="16" fillId="35" borderId="19" xfId="36" applyNumberFormat="1" applyFont="1" applyFill="1" applyBorder="1" applyAlignment="1">
      <alignment horizontal="center"/>
    </xf>
    <xf numFmtId="187" fontId="16" fillId="35" borderId="19" xfId="0" applyNumberFormat="1" applyFont="1" applyFill="1" applyBorder="1" applyAlignment="1">
      <alignment horizontal="center"/>
    </xf>
    <xf numFmtId="43" fontId="16" fillId="35" borderId="19" xfId="36" applyFont="1" applyFill="1" applyBorder="1" applyAlignment="1">
      <alignment horizontal="center" vertical="center"/>
    </xf>
    <xf numFmtId="43" fontId="16" fillId="0" borderId="0" xfId="0" applyNumberFormat="1" applyFont="1" applyAlignment="1">
      <alignment horizontal="center"/>
    </xf>
    <xf numFmtId="43" fontId="16" fillId="0" borderId="0" xfId="36" applyFont="1" applyAlignment="1">
      <alignment/>
    </xf>
    <xf numFmtId="0" fontId="7" fillId="33" borderId="11" xfId="0" applyFont="1" applyFill="1" applyBorder="1" applyAlignment="1">
      <alignment horizontal="center"/>
    </xf>
    <xf numFmtId="187" fontId="7" fillId="0" borderId="39" xfId="36" applyNumberFormat="1" applyFont="1" applyBorder="1" applyAlignment="1">
      <alignment/>
    </xf>
    <xf numFmtId="49" fontId="7" fillId="33" borderId="40" xfId="0" applyNumberFormat="1" applyFont="1" applyFill="1" applyBorder="1" applyAlignment="1">
      <alignment horizontal="center"/>
    </xf>
    <xf numFmtId="187" fontId="7" fillId="37" borderId="41" xfId="36" applyNumberFormat="1" applyFont="1" applyFill="1" applyBorder="1" applyAlignment="1">
      <alignment horizontal="center"/>
    </xf>
    <xf numFmtId="187" fontId="4" fillId="0" borderId="42" xfId="36" applyNumberFormat="1" applyFont="1" applyBorder="1" applyAlignment="1">
      <alignment/>
    </xf>
    <xf numFmtId="187" fontId="7" fillId="0" borderId="43" xfId="36" applyNumberFormat="1" applyFont="1" applyBorder="1" applyAlignment="1">
      <alignment/>
    </xf>
    <xf numFmtId="187" fontId="13" fillId="0" borderId="21" xfId="36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187" fontId="7" fillId="0" borderId="22" xfId="36" applyNumberFormat="1" applyFont="1" applyBorder="1" applyAlignment="1">
      <alignment/>
    </xf>
    <xf numFmtId="187" fontId="4" fillId="0" borderId="14" xfId="36" applyNumberFormat="1" applyFont="1" applyBorder="1" applyAlignment="1">
      <alignment horizontal="center"/>
    </xf>
    <xf numFmtId="187" fontId="4" fillId="0" borderId="13" xfId="36" applyNumberFormat="1" applyFont="1" applyBorder="1" applyAlignment="1">
      <alignment/>
    </xf>
    <xf numFmtId="4" fontId="4" fillId="0" borderId="12" xfId="0" applyNumberFormat="1" applyFont="1" applyFill="1" applyBorder="1" applyAlignment="1">
      <alignment horizontal="right" vertical="center"/>
    </xf>
    <xf numFmtId="187" fontId="7" fillId="0" borderId="44" xfId="36" applyNumberFormat="1" applyFont="1" applyBorder="1" applyAlignment="1">
      <alignment/>
    </xf>
    <xf numFmtId="4" fontId="4" fillId="0" borderId="21" xfId="0" applyNumberFormat="1" applyFont="1" applyFill="1" applyBorder="1" applyAlignment="1">
      <alignment horizontal="right" vertical="center"/>
    </xf>
    <xf numFmtId="43" fontId="11" fillId="0" borderId="0" xfId="0" applyNumberFormat="1" applyFont="1" applyFill="1" applyAlignment="1">
      <alignment vertical="top"/>
    </xf>
    <xf numFmtId="43" fontId="13" fillId="0" borderId="0" xfId="36" applyFont="1" applyAlignment="1">
      <alignment/>
    </xf>
    <xf numFmtId="43" fontId="12" fillId="0" borderId="12" xfId="36" applyFont="1" applyBorder="1" applyAlignment="1">
      <alignment/>
    </xf>
    <xf numFmtId="187" fontId="6" fillId="0" borderId="14" xfId="36" applyNumberFormat="1" applyFont="1" applyBorder="1" applyAlignment="1">
      <alignment/>
    </xf>
    <xf numFmtId="187" fontId="5" fillId="0" borderId="14" xfId="36" applyNumberFormat="1" applyFont="1" applyBorder="1" applyAlignment="1">
      <alignment/>
    </xf>
    <xf numFmtId="187" fontId="7" fillId="0" borderId="36" xfId="36" applyNumberFormat="1" applyFont="1" applyBorder="1" applyAlignment="1">
      <alignment horizontal="left"/>
    </xf>
    <xf numFmtId="0" fontId="22" fillId="34" borderId="11" xfId="0" applyFont="1" applyFill="1" applyBorder="1" applyAlignment="1">
      <alignment horizontal="center"/>
    </xf>
    <xf numFmtId="187" fontId="12" fillId="33" borderId="45" xfId="36" applyNumberFormat="1" applyFont="1" applyFill="1" applyBorder="1" applyAlignment="1">
      <alignment horizontal="center"/>
    </xf>
    <xf numFmtId="187" fontId="12" fillId="33" borderId="23" xfId="36" applyNumberFormat="1" applyFont="1" applyFill="1" applyBorder="1" applyAlignment="1">
      <alignment horizontal="center"/>
    </xf>
    <xf numFmtId="187" fontId="12" fillId="33" borderId="24" xfId="36" applyNumberFormat="1" applyFont="1" applyFill="1" applyBorder="1" applyAlignment="1">
      <alignment horizontal="center"/>
    </xf>
    <xf numFmtId="187" fontId="12" fillId="0" borderId="0" xfId="36" applyNumberFormat="1" applyFont="1" applyBorder="1" applyAlignment="1">
      <alignment horizontal="center"/>
    </xf>
    <xf numFmtId="187" fontId="12" fillId="0" borderId="0" xfId="36" applyNumberFormat="1" applyFont="1" applyAlignment="1">
      <alignment horizontal="center"/>
    </xf>
    <xf numFmtId="187" fontId="12" fillId="0" borderId="27" xfId="36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87" fontId="7" fillId="37" borderId="10" xfId="36" applyNumberFormat="1" applyFont="1" applyFill="1" applyBorder="1" applyAlignment="1">
      <alignment horizontal="center"/>
    </xf>
    <xf numFmtId="187" fontId="7" fillId="37" borderId="40" xfId="36" applyNumberFormat="1" applyFont="1" applyFill="1" applyBorder="1" applyAlignment="1">
      <alignment horizontal="center"/>
    </xf>
    <xf numFmtId="187" fontId="7" fillId="37" borderId="46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7" fontId="7" fillId="0" borderId="0" xfId="36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67">
      <selection activeCell="U49" sqref="U1:X16384"/>
    </sheetView>
  </sheetViews>
  <sheetFormatPr defaultColWidth="9.140625" defaultRowHeight="15"/>
  <cols>
    <col min="1" max="1" width="10.57421875" style="32" customWidth="1"/>
    <col min="2" max="2" width="9.00390625" style="32" customWidth="1"/>
    <col min="3" max="3" width="9.421875" style="32" customWidth="1"/>
    <col min="4" max="4" width="11.28125" style="32" customWidth="1"/>
    <col min="5" max="5" width="26.00390625" style="32" customWidth="1"/>
    <col min="6" max="6" width="9.00390625" style="153" customWidth="1"/>
    <col min="7" max="7" width="11.140625" style="32" customWidth="1"/>
    <col min="8" max="8" width="12.140625" style="36" customWidth="1"/>
    <col min="9" max="9" width="11.57421875" style="36" customWidth="1"/>
    <col min="10" max="14" width="9.00390625" style="36" customWidth="1"/>
    <col min="15" max="15" width="10.7109375" style="36" customWidth="1"/>
    <col min="16" max="16" width="10.421875" style="36" customWidth="1"/>
    <col min="17" max="18" width="9.00390625" style="153" customWidth="1"/>
    <col min="19" max="19" width="9.00390625" style="36" customWidth="1"/>
    <col min="20" max="16384" width="9.00390625" style="18" customWidth="1"/>
  </cols>
  <sheetData>
    <row r="1" spans="1:7" ht="18.75">
      <c r="A1" s="266" t="s">
        <v>107</v>
      </c>
      <c r="B1" s="266"/>
      <c r="C1" s="266"/>
      <c r="D1" s="266"/>
      <c r="E1" s="266"/>
      <c r="F1" s="266"/>
      <c r="G1" s="266"/>
    </row>
    <row r="2" spans="1:7" ht="18.75">
      <c r="A2" s="266" t="s">
        <v>33</v>
      </c>
      <c r="B2" s="266"/>
      <c r="C2" s="266"/>
      <c r="D2" s="266"/>
      <c r="E2" s="266"/>
      <c r="F2" s="266"/>
      <c r="G2" s="266"/>
    </row>
    <row r="3" spans="1:7" ht="18.75">
      <c r="A3" s="267" t="s">
        <v>253</v>
      </c>
      <c r="B3" s="267"/>
      <c r="C3" s="267"/>
      <c r="D3" s="267"/>
      <c r="E3" s="267"/>
      <c r="F3" s="267"/>
      <c r="G3" s="267"/>
    </row>
    <row r="4" spans="1:7" ht="18.75">
      <c r="A4" s="267" t="s">
        <v>282</v>
      </c>
      <c r="B4" s="267"/>
      <c r="C4" s="267"/>
      <c r="D4" s="267"/>
      <c r="E4" s="267"/>
      <c r="F4" s="267"/>
      <c r="G4" s="267"/>
    </row>
    <row r="5" spans="1:7" ht="18.75">
      <c r="A5" s="268"/>
      <c r="B5" s="268"/>
      <c r="C5" s="268"/>
      <c r="D5" s="268"/>
      <c r="E5" s="268"/>
      <c r="F5" s="268"/>
      <c r="G5" s="268"/>
    </row>
    <row r="6" spans="1:7" ht="18.75">
      <c r="A6" s="263" t="s">
        <v>34</v>
      </c>
      <c r="B6" s="264"/>
      <c r="C6" s="264"/>
      <c r="D6" s="265"/>
      <c r="E6" s="20"/>
      <c r="F6" s="46"/>
      <c r="G6" s="19" t="s">
        <v>35</v>
      </c>
    </row>
    <row r="7" spans="1:7" ht="18.75">
      <c r="A7" s="21" t="s">
        <v>36</v>
      </c>
      <c r="B7" s="21" t="s">
        <v>16</v>
      </c>
      <c r="C7" s="21" t="s">
        <v>21</v>
      </c>
      <c r="D7" s="21" t="s">
        <v>37</v>
      </c>
      <c r="E7" s="22" t="s">
        <v>23</v>
      </c>
      <c r="F7" s="47" t="s">
        <v>38</v>
      </c>
      <c r="G7" s="21" t="s">
        <v>37</v>
      </c>
    </row>
    <row r="8" spans="1:7" ht="18.75">
      <c r="A8" s="23" t="s">
        <v>39</v>
      </c>
      <c r="B8" s="24" t="s">
        <v>144</v>
      </c>
      <c r="C8" s="23" t="s">
        <v>130</v>
      </c>
      <c r="D8" s="23" t="s">
        <v>39</v>
      </c>
      <c r="E8" s="25"/>
      <c r="F8" s="48" t="s">
        <v>40</v>
      </c>
      <c r="G8" s="23" t="s">
        <v>39</v>
      </c>
    </row>
    <row r="9" spans="1:19" ht="18.75">
      <c r="A9" s="26"/>
      <c r="B9" s="26"/>
      <c r="C9" s="26"/>
      <c r="D9" s="147">
        <v>14130723.05</v>
      </c>
      <c r="E9" s="38" t="s">
        <v>24</v>
      </c>
      <c r="F9" s="49"/>
      <c r="G9" s="258">
        <v>14923958.52</v>
      </c>
      <c r="H9" s="230" t="s">
        <v>41</v>
      </c>
      <c r="I9" s="230" t="s">
        <v>42</v>
      </c>
      <c r="J9" s="230" t="s">
        <v>43</v>
      </c>
      <c r="K9" s="230" t="s">
        <v>44</v>
      </c>
      <c r="L9" s="230" t="s">
        <v>45</v>
      </c>
      <c r="M9" s="230" t="s">
        <v>46</v>
      </c>
      <c r="N9" s="230" t="s">
        <v>47</v>
      </c>
      <c r="O9" s="230" t="s">
        <v>48</v>
      </c>
      <c r="P9" s="230" t="s">
        <v>49</v>
      </c>
      <c r="Q9" s="231" t="s">
        <v>50</v>
      </c>
      <c r="R9" s="231" t="s">
        <v>51</v>
      </c>
      <c r="S9" s="230" t="s">
        <v>52</v>
      </c>
    </row>
    <row r="10" spans="1:19" ht="18.75">
      <c r="A10" s="27"/>
      <c r="B10" s="27"/>
      <c r="C10" s="27"/>
      <c r="D10" s="28"/>
      <c r="E10" s="39" t="s">
        <v>219</v>
      </c>
      <c r="F10" s="50"/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232"/>
      <c r="R10" s="232"/>
      <c r="S10" s="29"/>
    </row>
    <row r="11" spans="1:19" ht="18.75">
      <c r="A11" s="42">
        <v>510000</v>
      </c>
      <c r="B11" s="27"/>
      <c r="C11" s="42">
        <f>SUM(D11)</f>
        <v>499344.87000000005</v>
      </c>
      <c r="D11" s="43">
        <f>SUM(H11:S11)</f>
        <v>499344.87000000005</v>
      </c>
      <c r="E11" s="197" t="s">
        <v>53</v>
      </c>
      <c r="F11" s="50" t="s">
        <v>190</v>
      </c>
      <c r="G11" s="42">
        <f>SUM(S11)</f>
        <v>2265.97</v>
      </c>
      <c r="H11" s="29"/>
      <c r="I11" s="29"/>
      <c r="J11" s="29"/>
      <c r="K11" s="29">
        <v>8755.16</v>
      </c>
      <c r="L11" s="29">
        <v>75430.38</v>
      </c>
      <c r="M11" s="29">
        <v>256202.03</v>
      </c>
      <c r="N11" s="29">
        <v>122883.47</v>
      </c>
      <c r="O11" s="29">
        <v>5196.78</v>
      </c>
      <c r="P11" s="29">
        <v>25858.88</v>
      </c>
      <c r="Q11" s="232">
        <v>834.95</v>
      </c>
      <c r="R11" s="232">
        <v>1917.25</v>
      </c>
      <c r="S11" s="29">
        <v>2265.97</v>
      </c>
    </row>
    <row r="12" spans="1:19" ht="18.75">
      <c r="A12" s="42">
        <v>3099700</v>
      </c>
      <c r="B12" s="27"/>
      <c r="C12" s="42">
        <f aca="true" t="shared" si="0" ref="C12:C18">SUM(D12)</f>
        <v>2087267.7399999998</v>
      </c>
      <c r="D12" s="43">
        <f>SUM(H12:S12)</f>
        <v>2087267.7399999998</v>
      </c>
      <c r="E12" s="197" t="s">
        <v>54</v>
      </c>
      <c r="F12" s="50" t="s">
        <v>191</v>
      </c>
      <c r="G12" s="42">
        <f>SUM(S12)</f>
        <v>302137.9</v>
      </c>
      <c r="H12" s="29">
        <f>13880+450+20+118.75+35+19.4+100</f>
        <v>14623.15</v>
      </c>
      <c r="I12" s="29">
        <v>65786.2</v>
      </c>
      <c r="J12" s="29">
        <v>97435.6</v>
      </c>
      <c r="K12" s="29">
        <v>40328.95</v>
      </c>
      <c r="L12" s="29">
        <v>442209.05</v>
      </c>
      <c r="M12" s="29">
        <v>218256.2</v>
      </c>
      <c r="N12" s="29">
        <v>54917.8</v>
      </c>
      <c r="O12" s="29">
        <v>287284.65</v>
      </c>
      <c r="P12" s="29">
        <v>67731.45</v>
      </c>
      <c r="Q12" s="232">
        <v>134676.4</v>
      </c>
      <c r="R12" s="232">
        <v>361880.39</v>
      </c>
      <c r="S12" s="29">
        <v>302137.9</v>
      </c>
    </row>
    <row r="13" spans="1:19" ht="18.75">
      <c r="A13" s="42">
        <v>131000</v>
      </c>
      <c r="B13" s="27"/>
      <c r="C13" s="42">
        <f t="shared" si="0"/>
        <v>118432.79</v>
      </c>
      <c r="D13" s="43">
        <f>SUM(H13:S13)</f>
        <v>118432.79</v>
      </c>
      <c r="E13" s="197" t="s">
        <v>55</v>
      </c>
      <c r="F13" s="50" t="s">
        <v>192</v>
      </c>
      <c r="G13" s="42">
        <f>SUM(S13)</f>
        <v>14723.74</v>
      </c>
      <c r="H13" s="29"/>
      <c r="I13" s="29"/>
      <c r="J13" s="29"/>
      <c r="K13" s="29">
        <v>54039.81</v>
      </c>
      <c r="L13" s="29">
        <v>0</v>
      </c>
      <c r="M13" s="29">
        <v>4070.53</v>
      </c>
      <c r="N13" s="29">
        <v>0</v>
      </c>
      <c r="O13" s="29">
        <v>0</v>
      </c>
      <c r="P13" s="29">
        <v>0</v>
      </c>
      <c r="Q13" s="232">
        <v>45598.71</v>
      </c>
      <c r="R13" s="232">
        <v>0</v>
      </c>
      <c r="S13" s="29">
        <v>14723.74</v>
      </c>
    </row>
    <row r="14" spans="1:19" ht="18.75">
      <c r="A14" s="42">
        <v>350000</v>
      </c>
      <c r="B14" s="27"/>
      <c r="C14" s="42">
        <f t="shared" si="0"/>
        <v>433762</v>
      </c>
      <c r="D14" s="42">
        <f>SUM(H14:S14)</f>
        <v>433762</v>
      </c>
      <c r="E14" s="197" t="s">
        <v>56</v>
      </c>
      <c r="F14" s="50" t="s">
        <v>193</v>
      </c>
      <c r="G14" s="42">
        <f>SUM(S14)</f>
        <v>0</v>
      </c>
      <c r="H14" s="29">
        <v>67846</v>
      </c>
      <c r="I14" s="29">
        <v>31884</v>
      </c>
      <c r="J14" s="29">
        <v>30644</v>
      </c>
      <c r="K14" s="29"/>
      <c r="L14" s="29">
        <v>35962</v>
      </c>
      <c r="M14" s="29">
        <v>43430</v>
      </c>
      <c r="N14" s="29">
        <v>0</v>
      </c>
      <c r="O14" s="29">
        <v>47696</v>
      </c>
      <c r="P14" s="29">
        <v>84888</v>
      </c>
      <c r="Q14" s="232">
        <v>0</v>
      </c>
      <c r="R14" s="232">
        <v>91412</v>
      </c>
      <c r="S14" s="29"/>
    </row>
    <row r="15" spans="1:19" ht="18.75">
      <c r="A15" s="42">
        <v>10500</v>
      </c>
      <c r="B15" s="27"/>
      <c r="C15" s="42">
        <f t="shared" si="0"/>
        <v>45200</v>
      </c>
      <c r="D15" s="42">
        <f>SUM(H15:S15)</f>
        <v>45200</v>
      </c>
      <c r="E15" s="197" t="s">
        <v>57</v>
      </c>
      <c r="F15" s="50" t="s">
        <v>194</v>
      </c>
      <c r="G15" s="42">
        <f>SUM(S15)</f>
        <v>0</v>
      </c>
      <c r="H15" s="29">
        <v>350</v>
      </c>
      <c r="I15" s="29">
        <v>31000</v>
      </c>
      <c r="J15" s="29"/>
      <c r="K15" s="29"/>
      <c r="L15" s="29">
        <v>1400</v>
      </c>
      <c r="M15" s="29">
        <v>0</v>
      </c>
      <c r="N15" s="29">
        <v>0</v>
      </c>
      <c r="O15" s="29">
        <v>10000</v>
      </c>
      <c r="P15" s="29">
        <v>0</v>
      </c>
      <c r="Q15" s="232">
        <v>0</v>
      </c>
      <c r="R15" s="232">
        <v>2450</v>
      </c>
      <c r="S15" s="29"/>
    </row>
    <row r="16" spans="1:19" ht="18.75">
      <c r="A16" s="42">
        <v>1000</v>
      </c>
      <c r="B16" s="27"/>
      <c r="C16" s="42">
        <f t="shared" si="0"/>
        <v>3240</v>
      </c>
      <c r="D16" s="42">
        <f>SUM(H16:S16)</f>
        <v>3240</v>
      </c>
      <c r="E16" s="197" t="s">
        <v>137</v>
      </c>
      <c r="F16" s="50" t="s">
        <v>195</v>
      </c>
      <c r="G16" s="42">
        <f>SUM(S16)</f>
        <v>0</v>
      </c>
      <c r="H16" s="29"/>
      <c r="I16" s="29"/>
      <c r="J16" s="29"/>
      <c r="K16" s="29"/>
      <c r="L16" s="29">
        <v>3240</v>
      </c>
      <c r="M16" s="29">
        <v>0</v>
      </c>
      <c r="N16" s="29">
        <v>0</v>
      </c>
      <c r="O16" s="29">
        <v>0</v>
      </c>
      <c r="P16" s="29">
        <v>0</v>
      </c>
      <c r="Q16" s="232">
        <v>0</v>
      </c>
      <c r="R16" s="232">
        <v>0</v>
      </c>
      <c r="S16" s="29"/>
    </row>
    <row r="17" spans="1:19" ht="18.75">
      <c r="A17" s="42">
        <v>12005000</v>
      </c>
      <c r="B17" s="27"/>
      <c r="C17" s="42">
        <f t="shared" si="0"/>
        <v>14716094.73</v>
      </c>
      <c r="D17" s="42">
        <f>SUM(H17:S17)</f>
        <v>14716094.73</v>
      </c>
      <c r="E17" s="197" t="s">
        <v>58</v>
      </c>
      <c r="F17" s="50" t="s">
        <v>196</v>
      </c>
      <c r="G17" s="42">
        <f>SUM(S17)</f>
        <v>1996941.39</v>
      </c>
      <c r="H17" s="29">
        <f>676220.03+195149.36+73604.57+205290.8+6870.79+24095</f>
        <v>1181230.55</v>
      </c>
      <c r="I17" s="29">
        <v>863005.47</v>
      </c>
      <c r="J17" s="29">
        <v>1138590.45</v>
      </c>
      <c r="K17" s="29">
        <v>523030.82</v>
      </c>
      <c r="L17" s="29">
        <v>1781932.58</v>
      </c>
      <c r="M17" s="29">
        <v>1150421.76</v>
      </c>
      <c r="N17" s="29">
        <v>114764.71</v>
      </c>
      <c r="O17" s="29">
        <v>2413385.43</v>
      </c>
      <c r="P17" s="29">
        <v>1491257.08</v>
      </c>
      <c r="Q17" s="232">
        <v>792619.77</v>
      </c>
      <c r="R17" s="232">
        <v>1268914.72</v>
      </c>
      <c r="S17" s="29">
        <v>1996941.39</v>
      </c>
    </row>
    <row r="18" spans="1:19" ht="18.75">
      <c r="A18" s="42">
        <v>15457110</v>
      </c>
      <c r="B18" s="27"/>
      <c r="C18" s="42">
        <f t="shared" si="0"/>
        <v>14562607</v>
      </c>
      <c r="D18" s="42">
        <f>SUM(H18:S18)-139850</f>
        <v>14562607</v>
      </c>
      <c r="E18" s="197" t="s">
        <v>59</v>
      </c>
      <c r="F18" s="50" t="s">
        <v>197</v>
      </c>
      <c r="G18" s="42">
        <f>SUM(S18)</f>
        <v>0</v>
      </c>
      <c r="H18" s="29">
        <f>1415225+3153357</f>
        <v>4568582</v>
      </c>
      <c r="I18" s="29"/>
      <c r="J18" s="29"/>
      <c r="K18" s="29">
        <v>4192922</v>
      </c>
      <c r="L18" s="29"/>
      <c r="M18" s="29">
        <v>0</v>
      </c>
      <c r="N18" s="29">
        <v>2817346</v>
      </c>
      <c r="O18" s="29">
        <v>0</v>
      </c>
      <c r="P18" s="29">
        <v>487320</v>
      </c>
      <c r="Q18" s="232">
        <v>2636287</v>
      </c>
      <c r="R18" s="232">
        <v>0</v>
      </c>
      <c r="S18" s="29"/>
    </row>
    <row r="19" spans="1:19" ht="18.75">
      <c r="A19" s="42"/>
      <c r="B19" s="27">
        <f>SUM(H19:S19)</f>
        <v>2782000</v>
      </c>
      <c r="C19" s="42">
        <f>SUM(H19:S19)</f>
        <v>2782000</v>
      </c>
      <c r="D19" s="42"/>
      <c r="E19" s="197" t="s">
        <v>145</v>
      </c>
      <c r="F19" s="50" t="s">
        <v>198</v>
      </c>
      <c r="G19" s="42">
        <f>SUM(S19)</f>
        <v>2086500</v>
      </c>
      <c r="H19" s="29"/>
      <c r="I19" s="29"/>
      <c r="J19" s="29"/>
      <c r="K19" s="29"/>
      <c r="L19" s="29"/>
      <c r="M19" s="29"/>
      <c r="N19" s="29">
        <v>0</v>
      </c>
      <c r="O19" s="29">
        <v>0</v>
      </c>
      <c r="P19" s="29">
        <v>0</v>
      </c>
      <c r="Q19" s="232"/>
      <c r="R19" s="232">
        <v>695500</v>
      </c>
      <c r="S19" s="29">
        <v>2086500</v>
      </c>
    </row>
    <row r="20" spans="1:19" ht="19.5" thickBot="1">
      <c r="A20" s="44">
        <f>SUM(A9:A18)</f>
        <v>31564310</v>
      </c>
      <c r="B20" s="30">
        <f>SUM(B19)</f>
        <v>2782000</v>
      </c>
      <c r="C20" s="44">
        <f>SUM(C11:C19)</f>
        <v>35247949.129999995</v>
      </c>
      <c r="D20" s="45">
        <f>SUM(D11:D18)</f>
        <v>32465949.13</v>
      </c>
      <c r="E20" s="40"/>
      <c r="F20" s="50"/>
      <c r="G20" s="45">
        <f>SUM(G11+G12+G13+G14+G15+G16+G17+G18)</f>
        <v>2316069</v>
      </c>
      <c r="H20" s="230" t="s">
        <v>41</v>
      </c>
      <c r="I20" s="230" t="s">
        <v>42</v>
      </c>
      <c r="J20" s="230" t="s">
        <v>43</v>
      </c>
      <c r="K20" s="230" t="s">
        <v>44</v>
      </c>
      <c r="L20" s="230" t="s">
        <v>45</v>
      </c>
      <c r="M20" s="230" t="s">
        <v>46</v>
      </c>
      <c r="N20" s="230" t="s">
        <v>47</v>
      </c>
      <c r="O20" s="233" t="s">
        <v>48</v>
      </c>
      <c r="P20" s="230" t="s">
        <v>49</v>
      </c>
      <c r="Q20" s="231" t="s">
        <v>50</v>
      </c>
      <c r="R20" s="231" t="s">
        <v>51</v>
      </c>
      <c r="S20" s="230" t="s">
        <v>52</v>
      </c>
    </row>
    <row r="21" spans="1:19" ht="19.5" thickTop="1">
      <c r="A21" s="31"/>
      <c r="B21" s="31"/>
      <c r="C21" s="31"/>
      <c r="D21" s="28">
        <f>SUM(H21:S21)-600</f>
        <v>0</v>
      </c>
      <c r="E21" s="198" t="s">
        <v>111</v>
      </c>
      <c r="F21" s="199"/>
      <c r="G21" s="42">
        <f>SUM(S21)</f>
        <v>0</v>
      </c>
      <c r="H21" s="29"/>
      <c r="I21" s="29">
        <v>600</v>
      </c>
      <c r="J21" s="29"/>
      <c r="K21" s="29"/>
      <c r="L21" s="29"/>
      <c r="M21" s="29"/>
      <c r="N21" s="29">
        <v>0</v>
      </c>
      <c r="O21" s="29">
        <v>0</v>
      </c>
      <c r="P21" s="29">
        <v>0</v>
      </c>
      <c r="Q21" s="232">
        <v>0</v>
      </c>
      <c r="R21" s="232"/>
      <c r="S21" s="29"/>
    </row>
    <row r="22" spans="1:19" ht="18.75">
      <c r="A22" s="31"/>
      <c r="B22" s="31"/>
      <c r="C22" s="31"/>
      <c r="D22" s="28">
        <f>SUM(H22:S22)</f>
        <v>3623100</v>
      </c>
      <c r="E22" s="198" t="s">
        <v>136</v>
      </c>
      <c r="F22" s="199" t="s">
        <v>168</v>
      </c>
      <c r="G22" s="42">
        <f>SUM(S22)</f>
        <v>86100</v>
      </c>
      <c r="H22" s="29"/>
      <c r="I22" s="29">
        <v>3537000</v>
      </c>
      <c r="J22" s="29"/>
      <c r="K22" s="29"/>
      <c r="L22" s="29"/>
      <c r="M22" s="29"/>
      <c r="N22" s="29">
        <v>0</v>
      </c>
      <c r="O22" s="29">
        <v>0</v>
      </c>
      <c r="P22" s="29">
        <v>0</v>
      </c>
      <c r="Q22" s="232">
        <v>0</v>
      </c>
      <c r="R22" s="232"/>
      <c r="S22" s="29">
        <v>86100</v>
      </c>
    </row>
    <row r="23" spans="1:19" ht="18.75">
      <c r="A23" s="31"/>
      <c r="B23" s="31"/>
      <c r="C23" s="31"/>
      <c r="D23" s="28">
        <f>SUM(H23:S23)</f>
        <v>349352</v>
      </c>
      <c r="E23" s="198" t="s">
        <v>115</v>
      </c>
      <c r="F23" s="199" t="s">
        <v>199</v>
      </c>
      <c r="G23" s="42">
        <f>SUM(S23)</f>
        <v>0</v>
      </c>
      <c r="H23" s="29"/>
      <c r="I23" s="29">
        <v>3652</v>
      </c>
      <c r="J23" s="29">
        <v>20000</v>
      </c>
      <c r="K23" s="29"/>
      <c r="L23" s="29"/>
      <c r="M23" s="29">
        <f>288000+8600</f>
        <v>296600</v>
      </c>
      <c r="N23" s="29">
        <v>0</v>
      </c>
      <c r="O23" s="29">
        <v>24300</v>
      </c>
      <c r="P23" s="29">
        <v>0</v>
      </c>
      <c r="Q23" s="232">
        <v>0</v>
      </c>
      <c r="R23" s="232">
        <v>4800</v>
      </c>
      <c r="S23" s="29"/>
    </row>
    <row r="24" spans="1:19" ht="18.75">
      <c r="A24" s="31"/>
      <c r="B24" s="31"/>
      <c r="C24" s="31"/>
      <c r="D24" s="28">
        <f>SUM(H24:S24)</f>
        <v>86100</v>
      </c>
      <c r="E24" s="198" t="s">
        <v>147</v>
      </c>
      <c r="F24" s="199" t="s">
        <v>167</v>
      </c>
      <c r="G24" s="42">
        <f>SUM(S24)</f>
        <v>86100</v>
      </c>
      <c r="H24" s="29"/>
      <c r="I24" s="29"/>
      <c r="J24" s="29"/>
      <c r="K24" s="29"/>
      <c r="L24" s="29"/>
      <c r="M24" s="29"/>
      <c r="N24" s="29">
        <v>0</v>
      </c>
      <c r="O24" s="29">
        <v>0</v>
      </c>
      <c r="P24" s="29">
        <v>0</v>
      </c>
      <c r="Q24" s="232">
        <v>0</v>
      </c>
      <c r="R24" s="232"/>
      <c r="S24" s="29">
        <v>86100</v>
      </c>
    </row>
    <row r="25" spans="1:19" ht="18.75">
      <c r="A25" s="31"/>
      <c r="B25" s="31"/>
      <c r="C25" s="31"/>
      <c r="D25" s="28">
        <f>SUM(H25+I25+J25+K25+L25+M25+N25+O25+P25+Q25+R25+S25)</f>
        <v>12000</v>
      </c>
      <c r="E25" s="198" t="s">
        <v>60</v>
      </c>
      <c r="F25" s="199" t="s">
        <v>154</v>
      </c>
      <c r="G25" s="42">
        <f>SUM(S25)</f>
        <v>1000</v>
      </c>
      <c r="H25" s="29">
        <v>1000</v>
      </c>
      <c r="I25" s="29">
        <v>1000</v>
      </c>
      <c r="J25" s="29">
        <v>1000</v>
      </c>
      <c r="K25" s="29">
        <v>1000</v>
      </c>
      <c r="L25" s="29">
        <v>1000</v>
      </c>
      <c r="M25" s="29">
        <v>1000</v>
      </c>
      <c r="N25" s="29">
        <v>1000</v>
      </c>
      <c r="O25" s="29">
        <v>1000</v>
      </c>
      <c r="P25" s="29">
        <v>1000</v>
      </c>
      <c r="Q25" s="232">
        <v>1000</v>
      </c>
      <c r="R25" s="232">
        <v>1000</v>
      </c>
      <c r="S25" s="29">
        <v>1000</v>
      </c>
    </row>
    <row r="26" spans="1:19" ht="18.75">
      <c r="A26" s="31"/>
      <c r="B26" s="31"/>
      <c r="C26" s="31"/>
      <c r="D26" s="28">
        <f>SUM(H26+I26+J26+K26+L26+M26+N26+O26+P26+Q26+R26+S26)</f>
        <v>1353956.66</v>
      </c>
      <c r="E26" s="198" t="s">
        <v>220</v>
      </c>
      <c r="F26" s="199" t="s">
        <v>182</v>
      </c>
      <c r="G26" s="42">
        <f>SUM(S26)</f>
        <v>179881.58</v>
      </c>
      <c r="H26" s="29">
        <v>13112.77</v>
      </c>
      <c r="I26" s="29">
        <v>633124.61</v>
      </c>
      <c r="J26" s="29">
        <v>129862.77</v>
      </c>
      <c r="K26" s="29">
        <v>17473.51</v>
      </c>
      <c r="L26" s="29">
        <v>56409.82</v>
      </c>
      <c r="M26" s="29">
        <v>31153.58</v>
      </c>
      <c r="N26" s="29">
        <v>40571.46</v>
      </c>
      <c r="O26" s="29">
        <v>103591.65</v>
      </c>
      <c r="P26" s="29">
        <v>25866.89</v>
      </c>
      <c r="Q26" s="234">
        <v>33593.54</v>
      </c>
      <c r="R26" s="234">
        <v>89314.48</v>
      </c>
      <c r="S26" s="29">
        <v>179881.58</v>
      </c>
    </row>
    <row r="27" spans="1:19" ht="18.75">
      <c r="A27" s="31"/>
      <c r="B27" s="31"/>
      <c r="C27" s="31"/>
      <c r="D27" s="28">
        <f>SUM(H27+I27+J27+K27+L27+M27+N27+O27+P27+Q27+R27+S27)</f>
        <v>382690</v>
      </c>
      <c r="E27" s="198" t="s">
        <v>121</v>
      </c>
      <c r="F27" s="199" t="s">
        <v>155</v>
      </c>
      <c r="G27" s="42">
        <f>SUM(S27)</f>
        <v>38434</v>
      </c>
      <c r="H27" s="29">
        <v>28734</v>
      </c>
      <c r="I27" s="29">
        <v>30192</v>
      </c>
      <c r="J27" s="29">
        <v>28304</v>
      </c>
      <c r="K27" s="29">
        <v>25310</v>
      </c>
      <c r="L27" s="29">
        <v>3186</v>
      </c>
      <c r="M27" s="29">
        <v>31742</v>
      </c>
      <c r="N27" s="29">
        <v>35432</v>
      </c>
      <c r="O27" s="29">
        <v>38852</v>
      </c>
      <c r="P27" s="29">
        <v>39894</v>
      </c>
      <c r="Q27" s="234">
        <v>38876</v>
      </c>
      <c r="R27" s="234">
        <v>43734</v>
      </c>
      <c r="S27" s="29">
        <v>38434</v>
      </c>
    </row>
    <row r="28" spans="1:19" ht="18.75">
      <c r="A28" s="31"/>
      <c r="B28" s="31"/>
      <c r="C28" s="31"/>
      <c r="D28" s="28">
        <f>SUM(H28+I28+J28+K28+L28+M28+N28+O28+P28+Q28+R28+S28)</f>
        <v>6000</v>
      </c>
      <c r="E28" s="198" t="s">
        <v>143</v>
      </c>
      <c r="F28" s="199"/>
      <c r="G28" s="42">
        <f>SUM(S28)</f>
        <v>0</v>
      </c>
      <c r="H28" s="29"/>
      <c r="I28" s="29"/>
      <c r="J28" s="29"/>
      <c r="K28" s="29"/>
      <c r="L28" s="29"/>
      <c r="M28" s="29"/>
      <c r="N28" s="29"/>
      <c r="O28" s="29"/>
      <c r="P28" s="29">
        <v>6000</v>
      </c>
      <c r="Q28" s="234"/>
      <c r="R28" s="234"/>
      <c r="S28" s="29"/>
    </row>
    <row r="29" spans="1:19" ht="18.75">
      <c r="A29" s="31"/>
      <c r="B29" s="31"/>
      <c r="C29" s="31"/>
      <c r="D29" s="33">
        <f>SUM(D21:D28)</f>
        <v>5813198.66</v>
      </c>
      <c r="F29" s="51"/>
      <c r="G29" s="196">
        <f>SUM(G21:G28)</f>
        <v>391515.57999999996</v>
      </c>
      <c r="H29" s="29"/>
      <c r="I29" s="29"/>
      <c r="J29" s="29"/>
      <c r="K29" s="29"/>
      <c r="L29" s="29"/>
      <c r="M29" s="29"/>
      <c r="N29" s="29"/>
      <c r="O29" s="29"/>
      <c r="P29" s="29"/>
      <c r="Q29" s="234"/>
      <c r="R29" s="234"/>
      <c r="S29" s="29"/>
    </row>
    <row r="30" spans="1:16" ht="18.75">
      <c r="A30" s="31"/>
      <c r="B30" s="31"/>
      <c r="C30" s="31"/>
      <c r="D30" s="148">
        <f>SUM(D20+D29)</f>
        <v>38279147.79</v>
      </c>
      <c r="E30" s="34" t="s">
        <v>61</v>
      </c>
      <c r="F30" s="52"/>
      <c r="G30" s="164">
        <f>SUM(G20+G29)</f>
        <v>2707584.58</v>
      </c>
      <c r="I30" s="36">
        <f>SUM(G30-G20)</f>
        <v>391515.5800000001</v>
      </c>
      <c r="K30" s="36">
        <f>2390510.73-2385045.02</f>
        <v>5465.709999999963</v>
      </c>
      <c r="L30" s="36">
        <f>SUM(4703890.19-4707594.58)</f>
        <v>-3704.3899999996647</v>
      </c>
      <c r="M30" s="36">
        <f>G30-963731.82</f>
        <v>1743852.7600000002</v>
      </c>
      <c r="O30" s="36">
        <f>SUM(G30-1854059.49)</f>
        <v>853525.0900000001</v>
      </c>
      <c r="P30" s="36">
        <f>1234678.53-1234267.29</f>
        <v>411.2399999999907</v>
      </c>
    </row>
    <row r="31" spans="1:7" ht="18.75">
      <c r="A31" s="31"/>
      <c r="B31" s="31"/>
      <c r="C31" s="31"/>
      <c r="D31" s="35"/>
      <c r="E31" s="34"/>
      <c r="F31" s="52"/>
      <c r="G31" s="35"/>
    </row>
    <row r="32" spans="1:7" ht="18.75">
      <c r="A32" s="31"/>
      <c r="B32" s="31"/>
      <c r="C32" s="31"/>
      <c r="D32" s="35"/>
      <c r="E32" s="34"/>
      <c r="F32" s="52"/>
      <c r="G32" s="35"/>
    </row>
    <row r="33" spans="1:7" ht="18.75">
      <c r="A33" s="31"/>
      <c r="B33" s="31"/>
      <c r="C33" s="31"/>
      <c r="D33" s="35"/>
      <c r="E33" s="34"/>
      <c r="F33" s="52"/>
      <c r="G33" s="35"/>
    </row>
    <row r="34" spans="1:7" ht="18.75">
      <c r="A34" s="31"/>
      <c r="B34" s="31"/>
      <c r="C34" s="31"/>
      <c r="D34" s="35"/>
      <c r="E34" s="34"/>
      <c r="F34" s="52"/>
      <c r="G34" s="35"/>
    </row>
    <row r="35" spans="1:7" ht="18.75">
      <c r="A35" s="31"/>
      <c r="B35" s="31"/>
      <c r="C35" s="31"/>
      <c r="D35" s="35"/>
      <c r="E35" s="34"/>
      <c r="F35" s="52"/>
      <c r="G35" s="35"/>
    </row>
    <row r="36" spans="1:7" ht="18.75">
      <c r="A36" s="31"/>
      <c r="B36" s="31"/>
      <c r="C36" s="31"/>
      <c r="D36" s="35"/>
      <c r="E36" s="34"/>
      <c r="F36" s="52"/>
      <c r="G36" s="35"/>
    </row>
    <row r="37" spans="1:7" ht="18.75">
      <c r="A37" s="31"/>
      <c r="B37" s="31"/>
      <c r="C37" s="31"/>
      <c r="D37" s="35"/>
      <c r="E37" s="34"/>
      <c r="F37" s="52"/>
      <c r="G37" s="35"/>
    </row>
    <row r="38" spans="1:7" ht="18.75">
      <c r="A38" s="31"/>
      <c r="B38" s="31"/>
      <c r="C38" s="31"/>
      <c r="D38" s="35"/>
      <c r="E38" s="34"/>
      <c r="F38" s="52"/>
      <c r="G38" s="35"/>
    </row>
    <row r="39" spans="1:7" ht="18.75">
      <c r="A39" s="31"/>
      <c r="B39" s="31"/>
      <c r="C39" s="31"/>
      <c r="D39" s="35"/>
      <c r="E39" s="34"/>
      <c r="F39" s="52"/>
      <c r="G39" s="35"/>
    </row>
    <row r="40" spans="1:7" ht="18.75">
      <c r="A40" s="31"/>
      <c r="B40" s="31"/>
      <c r="C40" s="31"/>
      <c r="D40" s="35"/>
      <c r="E40" s="34"/>
      <c r="F40" s="52"/>
      <c r="G40" s="165" t="s">
        <v>221</v>
      </c>
    </row>
    <row r="41" spans="1:19" s="54" customFormat="1" ht="18.75">
      <c r="A41" s="263" t="s">
        <v>34</v>
      </c>
      <c r="B41" s="264"/>
      <c r="C41" s="264"/>
      <c r="D41" s="265"/>
      <c r="E41" s="53"/>
      <c r="F41" s="46"/>
      <c r="G41" s="19" t="s">
        <v>35</v>
      </c>
      <c r="H41" s="235"/>
      <c r="I41" s="235"/>
      <c r="J41" s="235"/>
      <c r="K41" s="235"/>
      <c r="L41" s="235"/>
      <c r="M41" s="235"/>
      <c r="N41" s="235"/>
      <c r="O41" s="36"/>
      <c r="P41" s="235"/>
      <c r="Q41" s="72"/>
      <c r="R41" s="72"/>
      <c r="S41" s="235"/>
    </row>
    <row r="42" spans="1:19" s="54" customFormat="1" ht="18.75">
      <c r="A42" s="21" t="s">
        <v>36</v>
      </c>
      <c r="B42" s="21" t="s">
        <v>16</v>
      </c>
      <c r="C42" s="21" t="s">
        <v>21</v>
      </c>
      <c r="D42" s="21" t="s">
        <v>37</v>
      </c>
      <c r="E42" s="22" t="s">
        <v>23</v>
      </c>
      <c r="F42" s="47" t="s">
        <v>38</v>
      </c>
      <c r="G42" s="21" t="s">
        <v>37</v>
      </c>
      <c r="H42" s="230" t="s">
        <v>41</v>
      </c>
      <c r="I42" s="230" t="s">
        <v>42</v>
      </c>
      <c r="J42" s="230" t="s">
        <v>43</v>
      </c>
      <c r="K42" s="230" t="s">
        <v>44</v>
      </c>
      <c r="L42" s="230" t="s">
        <v>45</v>
      </c>
      <c r="M42" s="230" t="s">
        <v>46</v>
      </c>
      <c r="N42" s="230" t="s">
        <v>47</v>
      </c>
      <c r="O42" s="230" t="s">
        <v>48</v>
      </c>
      <c r="P42" s="230" t="s">
        <v>49</v>
      </c>
      <c r="Q42" s="231" t="s">
        <v>50</v>
      </c>
      <c r="R42" s="231" t="s">
        <v>51</v>
      </c>
      <c r="S42" s="230" t="s">
        <v>52</v>
      </c>
    </row>
    <row r="43" spans="1:19" s="54" customFormat="1" ht="18.75">
      <c r="A43" s="23" t="s">
        <v>39</v>
      </c>
      <c r="B43" s="23" t="s">
        <v>144</v>
      </c>
      <c r="C43" s="23" t="s">
        <v>130</v>
      </c>
      <c r="D43" s="23" t="s">
        <v>39</v>
      </c>
      <c r="E43" s="55"/>
      <c r="F43" s="48" t="s">
        <v>40</v>
      </c>
      <c r="G43" s="23" t="s">
        <v>39</v>
      </c>
      <c r="H43" s="235"/>
      <c r="I43" s="235"/>
      <c r="J43" s="235"/>
      <c r="K43" s="235"/>
      <c r="L43" s="235"/>
      <c r="M43" s="235"/>
      <c r="N43" s="235"/>
      <c r="O43" s="235"/>
      <c r="P43" s="235"/>
      <c r="Q43" s="72"/>
      <c r="R43" s="72"/>
      <c r="S43" s="235"/>
    </row>
    <row r="44" spans="1:19" s="54" customFormat="1" ht="16.5" customHeight="1">
      <c r="A44" s="56"/>
      <c r="B44" s="56"/>
      <c r="C44" s="56"/>
      <c r="D44" s="56"/>
      <c r="E44" s="57" t="s">
        <v>62</v>
      </c>
      <c r="F44" s="49"/>
      <c r="G44" s="161"/>
      <c r="H44" s="235"/>
      <c r="I44" s="235" t="s">
        <v>63</v>
      </c>
      <c r="J44" s="235"/>
      <c r="K44" s="235"/>
      <c r="L44" s="235"/>
      <c r="M44" s="235"/>
      <c r="N44" s="235"/>
      <c r="O44" s="235"/>
      <c r="P44" s="235"/>
      <c r="Q44" s="72"/>
      <c r="R44" s="72"/>
      <c r="S44" s="235"/>
    </row>
    <row r="45" spans="1:19" s="54" customFormat="1" ht="16.5" customHeight="1">
      <c r="A45" s="157">
        <v>322134</v>
      </c>
      <c r="B45" s="157"/>
      <c r="C45" s="157">
        <f>SUM(D45)</f>
        <v>322134</v>
      </c>
      <c r="D45" s="157">
        <f>SUM(H45+I45+J45+K45+L45+M45+N45+O45+P45+Q45+R45+S45)</f>
        <v>322134</v>
      </c>
      <c r="E45" s="40" t="s">
        <v>117</v>
      </c>
      <c r="F45" s="50" t="s">
        <v>157</v>
      </c>
      <c r="G45" s="157">
        <f>SUM(N45)</f>
        <v>0</v>
      </c>
      <c r="H45" s="66"/>
      <c r="I45" s="66"/>
      <c r="J45" s="66">
        <v>322134</v>
      </c>
      <c r="K45" s="66"/>
      <c r="L45" s="66"/>
      <c r="M45" s="66"/>
      <c r="N45" s="66">
        <v>0</v>
      </c>
      <c r="O45" s="66">
        <v>0</v>
      </c>
      <c r="P45" s="66"/>
      <c r="Q45" s="66">
        <v>0</v>
      </c>
      <c r="R45" s="236"/>
      <c r="S45" s="66"/>
    </row>
    <row r="46" spans="1:19" s="54" customFormat="1" ht="16.5" customHeight="1">
      <c r="A46" s="157">
        <f>215700-100000+4800</f>
        <v>120500</v>
      </c>
      <c r="B46" s="157"/>
      <c r="C46" s="157">
        <f aca="true" t="shared" si="1" ref="C46:C61">SUM(D46)</f>
        <v>122402.70000000001</v>
      </c>
      <c r="D46" s="157">
        <f>SUM(H46+I46+J46+K46+L46+M46+N46+O46+P46+Q46+R46+S46)</f>
        <v>122402.70000000001</v>
      </c>
      <c r="E46" s="40" t="s">
        <v>116</v>
      </c>
      <c r="F46" s="50" t="s">
        <v>163</v>
      </c>
      <c r="G46" s="157">
        <f>SUM(S46)</f>
        <v>3915</v>
      </c>
      <c r="H46" s="66"/>
      <c r="I46" s="66"/>
      <c r="J46" s="66">
        <f>24759.9+93727.8</f>
        <v>118487.70000000001</v>
      </c>
      <c r="K46" s="66"/>
      <c r="L46" s="66"/>
      <c r="M46" s="66"/>
      <c r="N46" s="66">
        <v>0</v>
      </c>
      <c r="O46" s="66">
        <v>0</v>
      </c>
      <c r="P46" s="66"/>
      <c r="Q46" s="66">
        <v>0</v>
      </c>
      <c r="R46" s="236"/>
      <c r="S46" s="66">
        <v>3915</v>
      </c>
    </row>
    <row r="47" spans="1:20" s="54" customFormat="1" ht="16.5" customHeight="1">
      <c r="A47" s="157">
        <f>284300+20000</f>
        <v>304300</v>
      </c>
      <c r="B47" s="157"/>
      <c r="C47" s="157">
        <f t="shared" si="1"/>
        <v>281426</v>
      </c>
      <c r="D47" s="157">
        <f>SUM(H47+I47+J47+K47+L47+M47+N47+O47+P47+Q47+R47+S47)</f>
        <v>281426</v>
      </c>
      <c r="E47" s="40" t="s">
        <v>64</v>
      </c>
      <c r="F47" s="50" t="s">
        <v>162</v>
      </c>
      <c r="G47" s="157">
        <v>0</v>
      </c>
      <c r="H47" s="66"/>
      <c r="I47" s="66">
        <v>860</v>
      </c>
      <c r="J47" s="66">
        <v>266455</v>
      </c>
      <c r="K47" s="66"/>
      <c r="L47" s="66">
        <v>9854</v>
      </c>
      <c r="M47" s="66"/>
      <c r="N47" s="66">
        <v>3068</v>
      </c>
      <c r="O47" s="66">
        <v>0</v>
      </c>
      <c r="P47" s="66">
        <v>1189</v>
      </c>
      <c r="Q47" s="66">
        <v>0</v>
      </c>
      <c r="R47" s="236"/>
      <c r="S47" s="66"/>
      <c r="T47" s="59">
        <f>SUM(D45:D49)</f>
        <v>843470.7</v>
      </c>
    </row>
    <row r="48" spans="1:19" s="54" customFormat="1" ht="16.5" customHeight="1">
      <c r="A48" s="157">
        <f>139767-15000</f>
        <v>124767</v>
      </c>
      <c r="B48" s="157"/>
      <c r="C48" s="157">
        <f t="shared" si="1"/>
        <v>105508</v>
      </c>
      <c r="D48" s="157">
        <f>SUM(H48+I48+J48+K48+L48+M48+N48+O48+P48+Q48+R48+S48)-12149</f>
        <v>105508</v>
      </c>
      <c r="E48" s="40" t="s">
        <v>65</v>
      </c>
      <c r="F48" s="50" t="s">
        <v>158</v>
      </c>
      <c r="G48" s="157">
        <f>SUM(S48)</f>
        <v>11545</v>
      </c>
      <c r="H48" s="66">
        <v>8138</v>
      </c>
      <c r="I48" s="66">
        <v>12294</v>
      </c>
      <c r="J48" s="66">
        <v>10216</v>
      </c>
      <c r="K48" s="66">
        <v>10216</v>
      </c>
      <c r="L48" s="66">
        <v>10216</v>
      </c>
      <c r="M48" s="66">
        <v>9958</v>
      </c>
      <c r="N48" s="66">
        <v>10183</v>
      </c>
      <c r="O48" s="66">
        <v>9458</v>
      </c>
      <c r="P48" s="66">
        <v>8311</v>
      </c>
      <c r="Q48" s="236">
        <v>8561</v>
      </c>
      <c r="R48" s="236">
        <v>8561</v>
      </c>
      <c r="S48" s="66">
        <v>11545</v>
      </c>
    </row>
    <row r="49" spans="1:19" s="54" customFormat="1" ht="16.5" customHeight="1">
      <c r="A49" s="157">
        <v>18000</v>
      </c>
      <c r="B49" s="157"/>
      <c r="C49" s="157">
        <f t="shared" si="1"/>
        <v>12000</v>
      </c>
      <c r="D49" s="157">
        <f>SUM(H49+I49+J49+K49+L49+M49+N49+O49+P49+Q49+R49+S49)</f>
        <v>12000</v>
      </c>
      <c r="E49" s="40" t="s">
        <v>213</v>
      </c>
      <c r="F49" s="50" t="s">
        <v>161</v>
      </c>
      <c r="G49" s="157">
        <f>SUM(S49)</f>
        <v>1000</v>
      </c>
      <c r="H49" s="66">
        <v>1000</v>
      </c>
      <c r="I49" s="66">
        <v>1000</v>
      </c>
      <c r="J49" s="66">
        <v>1000</v>
      </c>
      <c r="K49" s="66">
        <v>1000</v>
      </c>
      <c r="L49" s="66">
        <v>1000</v>
      </c>
      <c r="M49" s="66">
        <v>1000</v>
      </c>
      <c r="N49" s="66">
        <v>1000</v>
      </c>
      <c r="O49" s="66">
        <v>1000</v>
      </c>
      <c r="P49" s="66">
        <v>1000</v>
      </c>
      <c r="Q49" s="236">
        <v>1000</v>
      </c>
      <c r="R49" s="236">
        <v>1000</v>
      </c>
      <c r="S49" s="66">
        <v>1000</v>
      </c>
    </row>
    <row r="50" spans="1:19" s="54" customFormat="1" ht="16.5" customHeight="1">
      <c r="A50" s="157">
        <v>5522400</v>
      </c>
      <c r="B50" s="157"/>
      <c r="C50" s="157">
        <f t="shared" si="1"/>
        <v>5198100</v>
      </c>
      <c r="D50" s="157">
        <f>SUM(H50+I50+J50+K50+L50+M50+N50+O50+P50+Q50+R50+S50)-600</f>
        <v>5198100</v>
      </c>
      <c r="E50" s="40" t="s">
        <v>214</v>
      </c>
      <c r="F50" s="50" t="s">
        <v>160</v>
      </c>
      <c r="G50" s="157">
        <f>SUM(S50)</f>
        <v>424800</v>
      </c>
      <c r="H50" s="66">
        <v>441300</v>
      </c>
      <c r="I50" s="66">
        <v>441900</v>
      </c>
      <c r="J50" s="66">
        <v>439800</v>
      </c>
      <c r="K50" s="66">
        <v>436500</v>
      </c>
      <c r="L50" s="66">
        <v>435700</v>
      </c>
      <c r="M50" s="66">
        <v>432500</v>
      </c>
      <c r="N50" s="66">
        <v>431700</v>
      </c>
      <c r="O50" s="66">
        <v>430900</v>
      </c>
      <c r="P50" s="66">
        <v>428400</v>
      </c>
      <c r="Q50" s="236">
        <v>427600</v>
      </c>
      <c r="R50" s="236">
        <v>427600</v>
      </c>
      <c r="S50" s="66">
        <v>424800</v>
      </c>
    </row>
    <row r="51" spans="1:19" s="54" customFormat="1" ht="16.5" customHeight="1">
      <c r="A51" s="157">
        <v>1305600</v>
      </c>
      <c r="B51" s="157"/>
      <c r="C51" s="157">
        <f t="shared" si="1"/>
        <v>1074400</v>
      </c>
      <c r="D51" s="157">
        <f>SUM(H51+I51+J51+K51+L51+M51+N51+O51+P51+Q51+R51+S51)</f>
        <v>1074400</v>
      </c>
      <c r="E51" s="40" t="s">
        <v>215</v>
      </c>
      <c r="F51" s="50" t="s">
        <v>159</v>
      </c>
      <c r="G51" s="157">
        <f>SUM(S51)</f>
        <v>92000</v>
      </c>
      <c r="H51" s="66">
        <v>88000</v>
      </c>
      <c r="I51" s="66">
        <v>88800</v>
      </c>
      <c r="J51" s="66">
        <v>88000</v>
      </c>
      <c r="K51" s="66">
        <v>88000</v>
      </c>
      <c r="L51" s="66">
        <v>88000</v>
      </c>
      <c r="M51" s="66">
        <v>88800</v>
      </c>
      <c r="N51" s="66">
        <v>89600</v>
      </c>
      <c r="O51" s="66">
        <v>90400</v>
      </c>
      <c r="P51" s="66">
        <v>90400</v>
      </c>
      <c r="Q51" s="236">
        <v>90400</v>
      </c>
      <c r="R51" s="236">
        <v>92000</v>
      </c>
      <c r="S51" s="66">
        <v>92000</v>
      </c>
    </row>
    <row r="52" spans="1:19" s="54" customFormat="1" ht="16.5" customHeight="1">
      <c r="A52" s="157">
        <v>2624640</v>
      </c>
      <c r="B52" s="157"/>
      <c r="C52" s="157">
        <f t="shared" si="1"/>
        <v>2624640</v>
      </c>
      <c r="D52" s="157">
        <f>SUM(H52+I52+J52+K52+L52+M52+N52+O52+P52+Q52+R52+S52)</f>
        <v>2624640</v>
      </c>
      <c r="E52" s="197" t="s">
        <v>66</v>
      </c>
      <c r="F52" s="50" t="s">
        <v>164</v>
      </c>
      <c r="G52" s="157">
        <f>SUM(S52)</f>
        <v>218720</v>
      </c>
      <c r="H52" s="66">
        <v>218720</v>
      </c>
      <c r="I52" s="66">
        <v>218720</v>
      </c>
      <c r="J52" s="66">
        <v>218720</v>
      </c>
      <c r="K52" s="66">
        <v>218720</v>
      </c>
      <c r="L52" s="66">
        <v>218720</v>
      </c>
      <c r="M52" s="66">
        <v>218720</v>
      </c>
      <c r="N52" s="66">
        <v>218720</v>
      </c>
      <c r="O52" s="66">
        <v>218720</v>
      </c>
      <c r="P52" s="66">
        <v>218720</v>
      </c>
      <c r="Q52" s="236">
        <v>218720</v>
      </c>
      <c r="R52" s="236">
        <v>218720</v>
      </c>
      <c r="S52" s="66">
        <v>218720</v>
      </c>
    </row>
    <row r="53" spans="1:19" s="54" customFormat="1" ht="16.5" customHeight="1">
      <c r="A53" s="157">
        <f>5355887+1299590+1344360-100000-100000-24000-55000-10000+960-80000-40000-60000-130000-75000-80000-92000-24000+65000+85000+14000</f>
        <v>7294797</v>
      </c>
      <c r="B53" s="157"/>
      <c r="C53" s="157">
        <f t="shared" si="1"/>
        <v>6749875.25</v>
      </c>
      <c r="D53" s="157">
        <f>SUM(H53+I53+J53+K53+L53+M53+N53+O53+P53+Q53+R53+S53)</f>
        <v>6749875.25</v>
      </c>
      <c r="E53" s="40" t="s">
        <v>67</v>
      </c>
      <c r="F53" s="50" t="s">
        <v>200</v>
      </c>
      <c r="G53" s="157">
        <f>SUM(S53)</f>
        <v>665480</v>
      </c>
      <c r="H53" s="66">
        <f>311293.12+37910+162750</f>
        <v>511953.12</v>
      </c>
      <c r="I53" s="66">
        <f>364460.76+37910+198190</f>
        <v>600560.76</v>
      </c>
      <c r="J53" s="66">
        <f>310460+37910+207040</f>
        <v>555410</v>
      </c>
      <c r="K53" s="66">
        <v>555410</v>
      </c>
      <c r="L53" s="66">
        <v>555410</v>
      </c>
      <c r="M53" s="66">
        <v>550248.7</v>
      </c>
      <c r="N53" s="66">
        <v>563013.33</v>
      </c>
      <c r="O53" s="66">
        <f>318120+38520+191878.7</f>
        <v>548518.7</v>
      </c>
      <c r="P53" s="66">
        <f>267065.64+100405+111620+67840</f>
        <v>546930.64</v>
      </c>
      <c r="Q53" s="236">
        <f>336000+38520+173950</f>
        <v>548470</v>
      </c>
      <c r="R53" s="236">
        <v>548470</v>
      </c>
      <c r="S53" s="66">
        <f>393410+38520+233550</f>
        <v>665480</v>
      </c>
    </row>
    <row r="54" spans="1:19" s="54" customFormat="1" ht="16.5" customHeight="1">
      <c r="A54" s="157">
        <f>239000+15000+10000+10000-50000-4800+5000+2000-5000-14000-39000+5000</f>
        <v>173200</v>
      </c>
      <c r="B54" s="157"/>
      <c r="C54" s="157">
        <f t="shared" si="1"/>
        <v>102059</v>
      </c>
      <c r="D54" s="157">
        <f>SUM(H54+I54+J54+K54+L54+M54+N54+O54+P54+Q54+R54+S54)</f>
        <v>102059</v>
      </c>
      <c r="E54" s="40" t="s">
        <v>68</v>
      </c>
      <c r="F54" s="50" t="s">
        <v>201</v>
      </c>
      <c r="G54" s="157">
        <f>SUM(S54)</f>
        <v>22100</v>
      </c>
      <c r="H54" s="66">
        <v>6000</v>
      </c>
      <c r="I54" s="66">
        <v>3000</v>
      </c>
      <c r="J54" s="66">
        <v>6000</v>
      </c>
      <c r="K54" s="66">
        <v>6000</v>
      </c>
      <c r="L54" s="66">
        <v>10529</v>
      </c>
      <c r="M54" s="66">
        <v>6000</v>
      </c>
      <c r="N54" s="66">
        <v>3000</v>
      </c>
      <c r="O54" s="66">
        <v>9000</v>
      </c>
      <c r="P54" s="66">
        <v>6000</v>
      </c>
      <c r="Q54" s="236">
        <v>3000</v>
      </c>
      <c r="R54" s="236">
        <v>21430</v>
      </c>
      <c r="S54" s="66">
        <v>22100</v>
      </c>
    </row>
    <row r="55" spans="1:19" s="54" customFormat="1" ht="16.5" customHeight="1">
      <c r="A55" s="157">
        <f>1273000+80000+550000+299000+1175000+10000+2419420+50000+150000-70000+170000-65000-90000+170000+100000-100000-20000-50000-20000-10000+100000-5800-10000-301200+200000+87000+400000-5000-22000-3000-2200+94200-20000-20000+3000+61040+55000-10000-5000-20000+20000+20000+14000+40000+100000+30000+65000+80000+4000</f>
        <v>6970460</v>
      </c>
      <c r="B55" s="157"/>
      <c r="C55" s="157">
        <f>SUM(D55)</f>
        <v>5857698.5200000005</v>
      </c>
      <c r="D55" s="157">
        <f>SUM(H55+I55+J55+K55+L55+M55+N55+O55+P55+Q55+R55+S55)+3652+20000+288000+24300-6000</f>
        <v>5857698.5200000005</v>
      </c>
      <c r="E55" s="156" t="s">
        <v>69</v>
      </c>
      <c r="F55" s="50" t="s">
        <v>153</v>
      </c>
      <c r="G55" s="157">
        <f>SUM(S55)</f>
        <v>562147.41</v>
      </c>
      <c r="H55" s="66">
        <v>185804.5</v>
      </c>
      <c r="I55" s="66">
        <v>675728.5</v>
      </c>
      <c r="J55" s="66">
        <f>553284.5-10200-16400</f>
        <v>526684.5</v>
      </c>
      <c r="K55" s="66">
        <v>409774.5</v>
      </c>
      <c r="L55" s="66">
        <v>441214.5</v>
      </c>
      <c r="M55" s="66">
        <v>258956.78</v>
      </c>
      <c r="N55" s="66">
        <v>494439</v>
      </c>
      <c r="O55" s="66">
        <v>617317.5</v>
      </c>
      <c r="P55" s="66">
        <v>442265.89</v>
      </c>
      <c r="Q55" s="236">
        <v>305076.74</v>
      </c>
      <c r="R55" s="236">
        <v>608336.7</v>
      </c>
      <c r="S55" s="66">
        <v>562147.41</v>
      </c>
    </row>
    <row r="56" spans="1:19" s="54" customFormat="1" ht="16.5" customHeight="1">
      <c r="A56" s="157">
        <f>670000+17000+545000+1242912+30000-50000-50000-50000+200000-40000-30000-20000+30000+20000+5000+10000+40000+10000-18000</f>
        <v>2561912</v>
      </c>
      <c r="B56" s="157"/>
      <c r="C56" s="157">
        <f t="shared" si="1"/>
        <v>2030103.6</v>
      </c>
      <c r="D56" s="157">
        <f>SUM(H56+I56+J56+K56+L56+M56+N56+O56+P56+Q56+R56+S56)</f>
        <v>2030103.6</v>
      </c>
      <c r="E56" s="156" t="s">
        <v>70</v>
      </c>
      <c r="F56" s="50" t="s">
        <v>202</v>
      </c>
      <c r="G56" s="157">
        <f>SUM(S56)</f>
        <v>572790.46</v>
      </c>
      <c r="H56" s="66">
        <v>0</v>
      </c>
      <c r="I56" s="66">
        <v>24271.7</v>
      </c>
      <c r="J56" s="66">
        <f>20677+16400</f>
        <v>37077</v>
      </c>
      <c r="K56" s="66">
        <v>264443.1</v>
      </c>
      <c r="L56" s="66">
        <v>125202.8</v>
      </c>
      <c r="M56" s="66">
        <v>121320.4</v>
      </c>
      <c r="N56" s="66">
        <v>884</v>
      </c>
      <c r="O56" s="66">
        <v>271267.32</v>
      </c>
      <c r="P56" s="66">
        <f>29491.4+271264.52</f>
        <v>300755.92000000004</v>
      </c>
      <c r="Q56" s="236">
        <v>264054.9</v>
      </c>
      <c r="R56" s="236">
        <v>48036</v>
      </c>
      <c r="S56" s="66">
        <v>572790.46</v>
      </c>
    </row>
    <row r="57" spans="1:19" s="54" customFormat="1" ht="16.5" customHeight="1">
      <c r="A57" s="157">
        <f>890000+100000-50000-10000+5000+10000-100000</f>
        <v>845000</v>
      </c>
      <c r="B57" s="157"/>
      <c r="C57" s="157">
        <f t="shared" si="1"/>
        <v>683884.14</v>
      </c>
      <c r="D57" s="157">
        <f>SUM(H57+I57+J57+K57+L57+M57+N57+O57+P57+Q57+R57+S57)</f>
        <v>683884.14</v>
      </c>
      <c r="E57" s="156" t="s">
        <v>71</v>
      </c>
      <c r="F57" s="50" t="s">
        <v>203</v>
      </c>
      <c r="G57" s="157">
        <f>SUM(S57)</f>
        <v>52321.79</v>
      </c>
      <c r="H57" s="66">
        <v>77025.89</v>
      </c>
      <c r="I57" s="66">
        <v>43012.09</v>
      </c>
      <c r="J57" s="66">
        <v>59276.7</v>
      </c>
      <c r="K57" s="66">
        <v>75706.78</v>
      </c>
      <c r="L57" s="66">
        <v>61611.18</v>
      </c>
      <c r="M57" s="66">
        <v>61372.57</v>
      </c>
      <c r="N57" s="66">
        <v>41340.81</v>
      </c>
      <c r="O57" s="66">
        <v>52176.73</v>
      </c>
      <c r="P57" s="66">
        <f>58070.89</f>
        <v>58070.89</v>
      </c>
      <c r="Q57" s="236">
        <v>52561.89</v>
      </c>
      <c r="R57" s="236">
        <v>49406.82</v>
      </c>
      <c r="S57" s="66">
        <v>52321.79</v>
      </c>
    </row>
    <row r="58" spans="1:19" s="54" customFormat="1" ht="18.75">
      <c r="A58" s="157">
        <f>10000+400000+36000+1316000+90000-50000-200000-40000-5000</f>
        <v>1557000</v>
      </c>
      <c r="B58" s="157"/>
      <c r="C58" s="157">
        <f t="shared" si="1"/>
        <v>1451606.77</v>
      </c>
      <c r="D58" s="157">
        <f>SUM(H58+I58+J58+K58+L58+M58+N58+O58+P58+Q58+R58+S58)</f>
        <v>1451606.77</v>
      </c>
      <c r="E58" s="154" t="s">
        <v>72</v>
      </c>
      <c r="F58" s="50" t="s">
        <v>204</v>
      </c>
      <c r="G58" s="157">
        <f>SUM(S58)</f>
        <v>351745</v>
      </c>
      <c r="H58" s="66"/>
      <c r="I58" s="66">
        <v>309000</v>
      </c>
      <c r="J58" s="66"/>
      <c r="K58" s="66"/>
      <c r="L58" s="66">
        <v>315000</v>
      </c>
      <c r="M58" s="66">
        <v>0</v>
      </c>
      <c r="N58" s="66">
        <v>165861.77</v>
      </c>
      <c r="O58" s="66">
        <v>0</v>
      </c>
      <c r="P58" s="66">
        <f>305000</f>
        <v>305000</v>
      </c>
      <c r="Q58" s="236"/>
      <c r="R58" s="236">
        <v>5000</v>
      </c>
      <c r="S58" s="66">
        <v>351745</v>
      </c>
    </row>
    <row r="59" spans="1:19" s="54" customFormat="1" ht="18.75">
      <c r="A59" s="157">
        <f>194600+198000+9000+1000-1000-5800+5800-7000-3500-1100+11600+60000+80000</f>
        <v>541600</v>
      </c>
      <c r="B59" s="157"/>
      <c r="C59" s="157">
        <f t="shared" si="1"/>
        <v>99222.31</v>
      </c>
      <c r="D59" s="157">
        <f>SUM(H59+I59+J59+K59+L59+M59+N59+O59+P59+Q59+R59+S59)</f>
        <v>99222.31</v>
      </c>
      <c r="E59" s="154" t="s">
        <v>73</v>
      </c>
      <c r="F59" s="50" t="s">
        <v>205</v>
      </c>
      <c r="G59" s="157">
        <f>SUM(S59)</f>
        <v>0</v>
      </c>
      <c r="H59" s="66"/>
      <c r="I59" s="66"/>
      <c r="J59" s="66"/>
      <c r="K59" s="66">
        <v>3500</v>
      </c>
      <c r="L59" s="66">
        <v>1891.56</v>
      </c>
      <c r="M59" s="66">
        <v>46250.75</v>
      </c>
      <c r="N59" s="66">
        <v>0</v>
      </c>
      <c r="O59" s="66">
        <v>0</v>
      </c>
      <c r="P59" s="66">
        <f>9200</f>
        <v>9200</v>
      </c>
      <c r="Q59" s="66">
        <v>38380</v>
      </c>
      <c r="R59" s="236">
        <v>0</v>
      </c>
      <c r="S59" s="237"/>
    </row>
    <row r="60" spans="1:19" s="54" customFormat="1" ht="18.75">
      <c r="A60" s="157">
        <f>1278000</f>
        <v>1278000</v>
      </c>
      <c r="B60" s="157"/>
      <c r="C60" s="157">
        <f t="shared" si="1"/>
        <v>1195000</v>
      </c>
      <c r="D60" s="157">
        <f>SUM(H60+I60+J60+K60+L60+M60+N60+O60+P60+Q60+R60+S60)</f>
        <v>1195000</v>
      </c>
      <c r="E60" s="154" t="s">
        <v>74</v>
      </c>
      <c r="F60" s="50" t="s">
        <v>206</v>
      </c>
      <c r="G60" s="157">
        <f>SUM(S60)</f>
        <v>0</v>
      </c>
      <c r="H60" s="66"/>
      <c r="I60" s="66"/>
      <c r="J60" s="66"/>
      <c r="K60" s="66"/>
      <c r="L60" s="66"/>
      <c r="M60" s="66">
        <v>405000</v>
      </c>
      <c r="N60" s="66">
        <v>26000</v>
      </c>
      <c r="O60" s="66">
        <v>497000</v>
      </c>
      <c r="P60" s="66">
        <v>0</v>
      </c>
      <c r="Q60" s="236"/>
      <c r="R60" s="236">
        <v>267000</v>
      </c>
      <c r="S60" s="66"/>
    </row>
    <row r="61" spans="1:19" s="54" customFormat="1" ht="18.75">
      <c r="A61" s="157">
        <f>25000-25000</f>
        <v>0</v>
      </c>
      <c r="B61" s="157"/>
      <c r="C61" s="157">
        <f t="shared" si="1"/>
        <v>0</v>
      </c>
      <c r="D61" s="157">
        <f>SUM(H61+I61+J61+K61+L61+M61+N61+O61+P61+Q61+R61+S61)</f>
        <v>0</v>
      </c>
      <c r="E61" s="154" t="s">
        <v>75</v>
      </c>
      <c r="F61" s="50" t="s">
        <v>207</v>
      </c>
      <c r="G61" s="157">
        <f>SUM(S61)</f>
        <v>0</v>
      </c>
      <c r="H61" s="66"/>
      <c r="I61" s="66"/>
      <c r="J61" s="66"/>
      <c r="K61" s="66"/>
      <c r="L61" s="66"/>
      <c r="M61" s="66"/>
      <c r="N61" s="66">
        <v>0</v>
      </c>
      <c r="O61" s="66">
        <v>0</v>
      </c>
      <c r="P61" s="66"/>
      <c r="Q61" s="236"/>
      <c r="R61" s="236"/>
      <c r="S61" s="66"/>
    </row>
    <row r="62" spans="1:19" s="54" customFormat="1" ht="18.75">
      <c r="A62" s="248"/>
      <c r="B62" s="158">
        <f>SUM(S62)</f>
        <v>2782000</v>
      </c>
      <c r="C62" s="159">
        <f>SUM(H62:S62)</f>
        <v>2782000</v>
      </c>
      <c r="D62" s="159">
        <f>SUM(H62+I62+J62+K62+L62+M62+N62+O62+P62+Q62+R62+S62)</f>
        <v>2782000</v>
      </c>
      <c r="E62" s="154" t="s">
        <v>146</v>
      </c>
      <c r="F62" s="50" t="s">
        <v>198</v>
      </c>
      <c r="G62" s="157">
        <f>SUM(S62)</f>
        <v>2782000</v>
      </c>
      <c r="H62" s="66"/>
      <c r="I62" s="66"/>
      <c r="J62" s="66"/>
      <c r="K62" s="66"/>
      <c r="L62" s="66"/>
      <c r="M62" s="66"/>
      <c r="N62" s="66">
        <v>0</v>
      </c>
      <c r="O62" s="66">
        <v>0</v>
      </c>
      <c r="P62" s="66"/>
      <c r="Q62" s="236"/>
      <c r="R62" s="236"/>
      <c r="S62" s="66">
        <v>2782000</v>
      </c>
    </row>
    <row r="63" spans="1:19" s="54" customFormat="1" ht="19.5" thickBot="1">
      <c r="A63" s="227">
        <f>SUM(A44:A61)</f>
        <v>31564310</v>
      </c>
      <c r="B63" s="160">
        <f>SUM(B62)</f>
        <v>2782000</v>
      </c>
      <c r="C63" s="161">
        <f>SUM(C45:C62)</f>
        <v>30692060.29</v>
      </c>
      <c r="D63" s="162">
        <f>SUM(D45:D61)+D62</f>
        <v>30692060.29</v>
      </c>
      <c r="E63" s="60"/>
      <c r="F63" s="50"/>
      <c r="G63" s="163">
        <f>SUM(G45:G61)</f>
        <v>2978564.66</v>
      </c>
      <c r="H63" s="230" t="s">
        <v>41</v>
      </c>
      <c r="I63" s="230" t="s">
        <v>42</v>
      </c>
      <c r="J63" s="230" t="s">
        <v>43</v>
      </c>
      <c r="K63" s="230" t="s">
        <v>44</v>
      </c>
      <c r="L63" s="230" t="s">
        <v>45</v>
      </c>
      <c r="M63" s="230" t="s">
        <v>46</v>
      </c>
      <c r="N63" s="230" t="s">
        <v>47</v>
      </c>
      <c r="O63" s="230" t="s">
        <v>48</v>
      </c>
      <c r="P63" s="230" t="s">
        <v>49</v>
      </c>
      <c r="Q63" s="231" t="s">
        <v>50</v>
      </c>
      <c r="R63" s="231" t="s">
        <v>51</v>
      </c>
      <c r="S63" s="230" t="s">
        <v>52</v>
      </c>
    </row>
    <row r="64" spans="1:19" s="54" customFormat="1" ht="16.5" customHeight="1" thickBot="1" thickTop="1">
      <c r="A64" s="61"/>
      <c r="B64" s="62">
        <f>SUM(B20-B63)</f>
        <v>0</v>
      </c>
      <c r="C64" s="62">
        <f>SUM(C20-C63)</f>
        <v>4555888.839999996</v>
      </c>
      <c r="D64" s="58">
        <f>SUM(H64+I64+J64+K64+L64+M64+N64+O64+P64+Q64+R64+S64)</f>
        <v>428626.6</v>
      </c>
      <c r="E64" s="226" t="s">
        <v>76</v>
      </c>
      <c r="F64" s="50" t="s">
        <v>154</v>
      </c>
      <c r="G64" s="58">
        <f>SUM(S64)</f>
        <v>0</v>
      </c>
      <c r="H64" s="66"/>
      <c r="I64" s="66"/>
      <c r="J64" s="66"/>
      <c r="K64" s="66">
        <v>266455</v>
      </c>
      <c r="L64" s="66"/>
      <c r="M64" s="66">
        <v>35100</v>
      </c>
      <c r="N64" s="66">
        <v>123407.6</v>
      </c>
      <c r="O64" s="66">
        <v>3664</v>
      </c>
      <c r="P64" s="66">
        <v>0</v>
      </c>
      <c r="Q64" s="236"/>
      <c r="R64" s="236"/>
      <c r="S64" s="66"/>
    </row>
    <row r="65" spans="1:19" s="54" customFormat="1" ht="16.5" customHeight="1" thickTop="1">
      <c r="A65" s="61"/>
      <c r="B65" s="61"/>
      <c r="C65" s="61"/>
      <c r="D65" s="58">
        <f>SUM(H65+I65+J65+K65+L65+M65+N65+O65+P65+Q65+R65+S65)</f>
        <v>1540234.2899999998</v>
      </c>
      <c r="E65" s="226" t="s">
        <v>279</v>
      </c>
      <c r="F65" s="50" t="s">
        <v>182</v>
      </c>
      <c r="G65" s="58">
        <f>SUM(S65)</f>
        <v>42651.72</v>
      </c>
      <c r="H65" s="66">
        <f>11746.02+5212+8138</f>
        <v>25096.02</v>
      </c>
      <c r="I65" s="66">
        <v>580898.77</v>
      </c>
      <c r="J65" s="66">
        <v>307796.61</v>
      </c>
      <c r="K65" s="66">
        <v>241212.77</v>
      </c>
      <c r="L65" s="66">
        <v>152452.95</v>
      </c>
      <c r="M65" s="66">
        <v>18979.72</v>
      </c>
      <c r="N65" s="66">
        <v>21924.47</v>
      </c>
      <c r="O65" s="66">
        <v>47541.32</v>
      </c>
      <c r="P65" s="66">
        <v>22186.91</v>
      </c>
      <c r="Q65" s="238">
        <v>22259.82</v>
      </c>
      <c r="R65" s="238">
        <v>57233.21</v>
      </c>
      <c r="S65" s="66">
        <v>42651.72</v>
      </c>
    </row>
    <row r="66" spans="1:19" s="54" customFormat="1" ht="16.5" customHeight="1">
      <c r="A66" s="61" t="s">
        <v>112</v>
      </c>
      <c r="B66" s="61"/>
      <c r="C66" s="61"/>
      <c r="D66" s="58">
        <f>SUM(H66+I66+J66+K66+L66+M66+N66+O66+P66+Q66+R66+S66)</f>
        <v>75959.94</v>
      </c>
      <c r="E66" s="226" t="s">
        <v>124</v>
      </c>
      <c r="F66" s="50" t="s">
        <v>166</v>
      </c>
      <c r="G66" s="58">
        <f>SUM(S66)</f>
        <v>0</v>
      </c>
      <c r="H66" s="66"/>
      <c r="I66" s="66">
        <v>75959.94</v>
      </c>
      <c r="J66" s="66"/>
      <c r="K66" s="66"/>
      <c r="L66" s="66"/>
      <c r="M66" s="66"/>
      <c r="N66" s="66">
        <v>0</v>
      </c>
      <c r="O66" s="66">
        <v>0</v>
      </c>
      <c r="P66" s="66">
        <v>0</v>
      </c>
      <c r="Q66" s="238"/>
      <c r="R66" s="238"/>
      <c r="S66" s="66"/>
    </row>
    <row r="67" spans="1:19" s="54" customFormat="1" ht="16.5" customHeight="1">
      <c r="A67" s="61"/>
      <c r="B67" s="61"/>
      <c r="C67" s="61"/>
      <c r="D67" s="58">
        <f>SUM(H67+I67+J67+K67+L67+M67+N67+O67+P67+Q67+R67+S67)</f>
        <v>349352</v>
      </c>
      <c r="E67" s="226" t="s">
        <v>278</v>
      </c>
      <c r="F67" s="50" t="s">
        <v>156</v>
      </c>
      <c r="G67" s="58">
        <f>SUM(S67)</f>
        <v>0</v>
      </c>
      <c r="H67" s="66"/>
      <c r="I67" s="66">
        <v>3652</v>
      </c>
      <c r="J67" s="66">
        <v>20000</v>
      </c>
      <c r="K67" s="66"/>
      <c r="L67" s="66"/>
      <c r="M67" s="66">
        <f>288000+8600</f>
        <v>296600</v>
      </c>
      <c r="N67" s="66">
        <v>24300</v>
      </c>
      <c r="O67" s="66">
        <v>0</v>
      </c>
      <c r="P67" s="66">
        <v>0</v>
      </c>
      <c r="Q67" s="66">
        <v>4800</v>
      </c>
      <c r="R67" s="236">
        <v>0</v>
      </c>
      <c r="S67" s="66"/>
    </row>
    <row r="68" spans="1:19" s="54" customFormat="1" ht="16.5" customHeight="1">
      <c r="A68" s="61"/>
      <c r="B68" s="61"/>
      <c r="C68" s="61"/>
      <c r="D68" s="58">
        <f>SUM(H68+I68+J68+K68+L68+M68+N68+O68+P68+Q68+R68+S68)</f>
        <v>86100</v>
      </c>
      <c r="E68" s="226" t="s">
        <v>284</v>
      </c>
      <c r="F68" s="63" t="s">
        <v>167</v>
      </c>
      <c r="G68" s="58">
        <f>SUM(S68)</f>
        <v>86100</v>
      </c>
      <c r="H68" s="66"/>
      <c r="I68" s="66"/>
      <c r="J68" s="66"/>
      <c r="K68" s="66"/>
      <c r="L68" s="66"/>
      <c r="M68" s="66"/>
      <c r="N68" s="66">
        <v>0</v>
      </c>
      <c r="O68" s="66">
        <v>0</v>
      </c>
      <c r="P68" s="66">
        <v>0</v>
      </c>
      <c r="Q68" s="236"/>
      <c r="R68" s="236"/>
      <c r="S68" s="66">
        <v>86100</v>
      </c>
    </row>
    <row r="69" spans="1:19" s="54" customFormat="1" ht="16.5" customHeight="1">
      <c r="A69" s="61"/>
      <c r="B69" s="61"/>
      <c r="C69" s="61"/>
      <c r="D69" s="58">
        <f>SUM(H69+I69+J69+K69+L69+M69+N69+O69+P69+Q69+R69+S69)</f>
        <v>433762</v>
      </c>
      <c r="E69" s="249" t="s">
        <v>275</v>
      </c>
      <c r="F69" s="63" t="s">
        <v>153</v>
      </c>
      <c r="G69" s="58">
        <f>SUM(S69)</f>
        <v>0</v>
      </c>
      <c r="H69" s="239">
        <v>67846</v>
      </c>
      <c r="I69" s="239">
        <v>31884</v>
      </c>
      <c r="J69" s="239">
        <v>30644</v>
      </c>
      <c r="K69" s="239">
        <v>0</v>
      </c>
      <c r="L69" s="239">
        <v>35962</v>
      </c>
      <c r="M69" s="66">
        <v>43430</v>
      </c>
      <c r="N69" s="66">
        <v>0</v>
      </c>
      <c r="O69" s="66">
        <v>47696</v>
      </c>
      <c r="P69" s="66">
        <v>84888</v>
      </c>
      <c r="Q69" s="236"/>
      <c r="R69" s="236">
        <v>91412</v>
      </c>
      <c r="S69" s="66"/>
    </row>
    <row r="70" spans="1:19" s="54" customFormat="1" ht="16.5" customHeight="1">
      <c r="A70" s="61"/>
      <c r="B70" s="61"/>
      <c r="C70" s="61"/>
      <c r="D70" s="58">
        <f>SUM(H70+I70+J70+K70+L70+M70+N70+O70+P70+Q70+R70+S70)</f>
        <v>3330500</v>
      </c>
      <c r="E70" s="226" t="s">
        <v>210</v>
      </c>
      <c r="F70" s="63"/>
      <c r="G70" s="58">
        <f>SUM(S70)</f>
        <v>0</v>
      </c>
      <c r="H70" s="66"/>
      <c r="I70" s="66"/>
      <c r="J70" s="66"/>
      <c r="K70" s="66"/>
      <c r="L70" s="66">
        <v>768000</v>
      </c>
      <c r="M70" s="66">
        <v>477000</v>
      </c>
      <c r="N70" s="66">
        <v>0</v>
      </c>
      <c r="O70" s="66">
        <v>497000</v>
      </c>
      <c r="P70" s="66">
        <v>497000</v>
      </c>
      <c r="Q70" s="236"/>
      <c r="R70" s="236">
        <v>1091500</v>
      </c>
      <c r="S70" s="66"/>
    </row>
    <row r="71" spans="1:19" s="54" customFormat="1" ht="16.5" customHeight="1">
      <c r="A71" s="64"/>
      <c r="B71" s="64"/>
      <c r="C71" s="64"/>
      <c r="D71" s="58">
        <f>SUM(H71+I71+J71+K71+L71+M71+N71+O71+P71+Q71+R71+S71)</f>
        <v>4548250</v>
      </c>
      <c r="E71" s="226" t="s">
        <v>286</v>
      </c>
      <c r="F71" s="65">
        <v>21010000</v>
      </c>
      <c r="G71" s="58">
        <f>SUM(S71)</f>
        <v>0</v>
      </c>
      <c r="H71" s="66">
        <v>502750</v>
      </c>
      <c r="I71" s="66">
        <v>3550500</v>
      </c>
      <c r="J71" s="66">
        <v>495000</v>
      </c>
      <c r="K71" s="66"/>
      <c r="L71" s="66"/>
      <c r="M71" s="66"/>
      <c r="N71" s="66"/>
      <c r="O71" s="66"/>
      <c r="P71" s="66"/>
      <c r="Q71" s="236"/>
      <c r="R71" s="236"/>
      <c r="S71" s="66"/>
    </row>
    <row r="72" spans="1:19" s="54" customFormat="1" ht="16.5" customHeight="1">
      <c r="A72" s="64"/>
      <c r="B72" s="64"/>
      <c r="C72" s="64"/>
      <c r="D72" s="58">
        <f>SUM(H72+I72+J72+K72+L72+M72+N72+O72+P72+Q72+R72+S72)</f>
        <v>0</v>
      </c>
      <c r="E72" s="220" t="s">
        <v>140</v>
      </c>
      <c r="F72" s="65">
        <v>11047000</v>
      </c>
      <c r="G72" s="58">
        <f>SUM(S72)</f>
        <v>0</v>
      </c>
      <c r="H72" s="66"/>
      <c r="I72" s="66"/>
      <c r="J72" s="66"/>
      <c r="K72" s="66"/>
      <c r="L72" s="66"/>
      <c r="M72" s="66"/>
      <c r="N72" s="66"/>
      <c r="O72" s="66"/>
      <c r="P72" s="66"/>
      <c r="Q72" s="236"/>
      <c r="R72" s="236"/>
      <c r="S72" s="66"/>
    </row>
    <row r="73" spans="1:19" s="54" customFormat="1" ht="16.5" customHeight="1">
      <c r="A73" s="64"/>
      <c r="B73" s="64"/>
      <c r="C73" s="64"/>
      <c r="D73" s="58">
        <f>SUM(H73+I73+J73+K73+L73+M73+N73+O73+P73+Q73+R73+S73)</f>
        <v>0</v>
      </c>
      <c r="E73" s="220" t="s">
        <v>141</v>
      </c>
      <c r="F73" s="65">
        <v>11047000</v>
      </c>
      <c r="G73" s="58">
        <f>SUM(S73)</f>
        <v>0</v>
      </c>
      <c r="H73" s="66"/>
      <c r="I73" s="66"/>
      <c r="J73" s="66"/>
      <c r="K73" s="66"/>
      <c r="L73" s="66"/>
      <c r="M73" s="66"/>
      <c r="N73" s="66"/>
      <c r="O73" s="66"/>
      <c r="P73" s="66"/>
      <c r="Q73" s="236"/>
      <c r="R73" s="236"/>
      <c r="S73" s="66"/>
    </row>
    <row r="74" spans="1:19" s="54" customFormat="1" ht="16.5" customHeight="1">
      <c r="A74" s="64"/>
      <c r="B74" s="64"/>
      <c r="C74" s="64"/>
      <c r="D74" s="58">
        <f>SUM(H74+I74+J74+K74+L74+M74+N74+O74+P74+Q74+R74+S74)</f>
        <v>0</v>
      </c>
      <c r="E74" s="220" t="s">
        <v>142</v>
      </c>
      <c r="F74" s="65">
        <v>11047000</v>
      </c>
      <c r="G74" s="58">
        <f>SUM(S74)</f>
        <v>0</v>
      </c>
      <c r="H74" s="66"/>
      <c r="I74" s="66"/>
      <c r="J74" s="66"/>
      <c r="K74" s="66"/>
      <c r="L74" s="66"/>
      <c r="M74" s="66"/>
      <c r="N74" s="66"/>
      <c r="O74" s="66"/>
      <c r="P74" s="66"/>
      <c r="Q74" s="236"/>
      <c r="R74" s="236"/>
      <c r="S74" s="66"/>
    </row>
    <row r="75" spans="1:19" s="54" customFormat="1" ht="16.5" customHeight="1">
      <c r="A75" s="64"/>
      <c r="B75" s="64"/>
      <c r="C75" s="64"/>
      <c r="D75" s="58">
        <f>SUM(H75+I75+J75+K75+L75+M75+N75+O75+P75+Q75+R75+S75)</f>
        <v>0</v>
      </c>
      <c r="E75" s="220" t="s">
        <v>77</v>
      </c>
      <c r="F75" s="67">
        <v>11047000</v>
      </c>
      <c r="G75" s="58">
        <f>SUM(S75)</f>
        <v>0</v>
      </c>
      <c r="H75" s="66"/>
      <c r="I75" s="66"/>
      <c r="J75" s="66"/>
      <c r="K75" s="66"/>
      <c r="L75" s="66"/>
      <c r="M75" s="66"/>
      <c r="N75" s="66"/>
      <c r="O75" s="66"/>
      <c r="P75" s="66"/>
      <c r="Q75" s="236"/>
      <c r="R75" s="236"/>
      <c r="S75" s="66"/>
    </row>
    <row r="76" spans="1:19" s="54" customFormat="1" ht="16.5" customHeight="1">
      <c r="A76" s="64"/>
      <c r="B76" s="64"/>
      <c r="C76" s="64"/>
      <c r="D76" s="68">
        <f>SUM(D64:D75)</f>
        <v>10792784.83</v>
      </c>
      <c r="E76" s="64"/>
      <c r="F76" s="69"/>
      <c r="G76" s="68">
        <f>SUM(G64:G75)</f>
        <v>128751.72</v>
      </c>
      <c r="H76" s="235"/>
      <c r="I76" s="235">
        <f>SUM(I64:I75)</f>
        <v>4242894.71</v>
      </c>
      <c r="J76" s="235">
        <f>SUM(J64:J75)</f>
        <v>853440.61</v>
      </c>
      <c r="K76" s="235">
        <f>SUM(K64:K75)</f>
        <v>507667.77</v>
      </c>
      <c r="L76" s="235">
        <f>SUM(L64:L75)</f>
        <v>956414.95</v>
      </c>
      <c r="M76" s="235">
        <f>SUM(M64:M75)</f>
        <v>871109.72</v>
      </c>
      <c r="N76" s="235"/>
      <c r="O76" s="235"/>
      <c r="P76" s="235"/>
      <c r="Q76" s="72"/>
      <c r="R76" s="72"/>
      <c r="S76" s="235"/>
    </row>
    <row r="77" spans="1:19" s="54" customFormat="1" ht="16.5" customHeight="1" thickBot="1">
      <c r="A77" s="64"/>
      <c r="B77" s="64"/>
      <c r="C77" s="64"/>
      <c r="D77" s="70">
        <f>SUM(D63+D76)</f>
        <v>41484845.12</v>
      </c>
      <c r="E77" s="155" t="s">
        <v>78</v>
      </c>
      <c r="F77" s="71"/>
      <c r="G77" s="70">
        <f>SUM(G63+G76)</f>
        <v>3107316.3800000004</v>
      </c>
      <c r="H77" s="235"/>
      <c r="I77" s="235"/>
      <c r="J77" s="235"/>
      <c r="K77" s="235"/>
      <c r="L77" s="235"/>
      <c r="M77" s="235">
        <f>2272859.7-2277420.95</f>
        <v>-4561.25</v>
      </c>
      <c r="N77" s="235"/>
      <c r="O77" s="235"/>
      <c r="P77" s="235"/>
      <c r="Q77" s="72"/>
      <c r="R77" s="240">
        <f>SUM(G77-2103694.82)</f>
        <v>1003621.5600000005</v>
      </c>
      <c r="S77" s="235"/>
    </row>
    <row r="78" spans="1:19" s="54" customFormat="1" ht="15.75" customHeight="1" thickTop="1">
      <c r="A78" s="64"/>
      <c r="B78" s="64"/>
      <c r="C78" s="64"/>
      <c r="D78" s="219">
        <f>SUM(D20-D63)</f>
        <v>1773888.8399999999</v>
      </c>
      <c r="E78" s="34" t="s">
        <v>79</v>
      </c>
      <c r="F78" s="72"/>
      <c r="G78" s="219">
        <f>SUM(G30-G77)</f>
        <v>-399731.8000000003</v>
      </c>
      <c r="H78" s="235"/>
      <c r="I78" s="235">
        <f>SUM(G77-21777)+570</f>
        <v>3086109.3800000004</v>
      </c>
      <c r="J78" s="235"/>
      <c r="K78" s="235"/>
      <c r="L78" s="235"/>
      <c r="M78" s="235"/>
      <c r="N78" s="235"/>
      <c r="O78" s="235">
        <f>SUM(G77-2086575.16)</f>
        <v>1020741.2200000004</v>
      </c>
      <c r="P78" s="235"/>
      <c r="Q78" s="72"/>
      <c r="R78" s="72"/>
      <c r="S78" s="235"/>
    </row>
    <row r="79" spans="1:19" s="54" customFormat="1" ht="15.75" customHeight="1">
      <c r="A79" s="64"/>
      <c r="B79" s="64"/>
      <c r="C79" s="64"/>
      <c r="D79" s="149"/>
      <c r="E79" s="64" t="s">
        <v>80</v>
      </c>
      <c r="F79" s="72"/>
      <c r="G79" s="73"/>
      <c r="H79" s="235"/>
      <c r="I79" s="235"/>
      <c r="J79" s="235"/>
      <c r="K79" s="235"/>
      <c r="L79" s="235"/>
      <c r="M79" s="235"/>
      <c r="N79" s="235"/>
      <c r="O79" s="235"/>
      <c r="P79" s="235"/>
      <c r="Q79" s="72"/>
      <c r="R79" s="72"/>
      <c r="S79" s="235"/>
    </row>
    <row r="80" spans="1:19" s="54" customFormat="1" ht="15.75" customHeight="1">
      <c r="A80" s="64"/>
      <c r="B80" s="64"/>
      <c r="C80" s="64"/>
      <c r="D80" s="74"/>
      <c r="E80" s="37" t="s">
        <v>81</v>
      </c>
      <c r="F80" s="72"/>
      <c r="G80" s="74"/>
      <c r="H80" s="235"/>
      <c r="I80" s="235"/>
      <c r="J80" s="235"/>
      <c r="K80" s="235"/>
      <c r="L80" s="235"/>
      <c r="M80" s="235"/>
      <c r="N80" s="235"/>
      <c r="O80" s="235"/>
      <c r="P80" s="235"/>
      <c r="Q80" s="72"/>
      <c r="R80" s="72"/>
      <c r="S80" s="235"/>
    </row>
    <row r="81" spans="1:19" s="54" customFormat="1" ht="16.5" customHeight="1" thickBot="1">
      <c r="A81" s="64"/>
      <c r="B81" s="64"/>
      <c r="C81" s="64"/>
      <c r="D81" s="70">
        <f>SUM(D9+D30-D77+C19)-6000</f>
        <v>13701025.720000006</v>
      </c>
      <c r="E81" s="155" t="s">
        <v>82</v>
      </c>
      <c r="F81" s="71"/>
      <c r="G81" s="70">
        <f>G9+G30-G77+G19-D62-127701</f>
        <v>13701025.72</v>
      </c>
      <c r="H81" s="235"/>
      <c r="I81" s="235">
        <f>SUM(D81-G81)</f>
        <v>5.587935447692871E-09</v>
      </c>
      <c r="J81" s="235"/>
      <c r="K81" s="235"/>
      <c r="L81" s="235"/>
      <c r="M81" s="235"/>
      <c r="N81" s="235"/>
      <c r="O81" s="235">
        <f>SUM(G80-2086575.16)</f>
        <v>-2086575.16</v>
      </c>
      <c r="P81" s="235"/>
      <c r="Q81" s="72"/>
      <c r="R81" s="72"/>
      <c r="S81" s="235"/>
    </row>
    <row r="82" spans="1:19" s="151" customFormat="1" ht="19.5" thickTop="1">
      <c r="A82" s="41"/>
      <c r="B82" s="41"/>
      <c r="C82" s="41"/>
      <c r="D82" s="41"/>
      <c r="E82" s="41"/>
      <c r="F82" s="150"/>
      <c r="G82" s="41"/>
      <c r="H82" s="241">
        <f>SUM(D81-G81)</f>
        <v>5.587935447692871E-09</v>
      </c>
      <c r="I82" s="241"/>
      <c r="J82" s="241"/>
      <c r="K82" s="241"/>
      <c r="L82" s="241">
        <f>SUM(2060656.05-2060634.05)</f>
        <v>22</v>
      </c>
      <c r="M82" s="241"/>
      <c r="N82" s="241"/>
      <c r="O82" s="235"/>
      <c r="P82" s="241"/>
      <c r="Q82" s="150"/>
      <c r="R82" s="150"/>
      <c r="S82" s="241"/>
    </row>
    <row r="83" spans="1:19" s="151" customFormat="1" ht="18.75">
      <c r="A83" s="41"/>
      <c r="B83" s="41"/>
      <c r="C83" s="41"/>
      <c r="D83" s="41"/>
      <c r="E83" s="41"/>
      <c r="F83" s="150"/>
      <c r="G83" s="152"/>
      <c r="H83" s="241"/>
      <c r="I83" s="241">
        <f>SUM(D81-G81)</f>
        <v>5.587935447692871E-09</v>
      </c>
      <c r="J83" s="241"/>
      <c r="K83" s="241"/>
      <c r="L83" s="241"/>
      <c r="M83" s="241"/>
      <c r="N83" s="241"/>
      <c r="O83" s="235"/>
      <c r="P83" s="241"/>
      <c r="Q83" s="150"/>
      <c r="R83" s="150"/>
      <c r="S83" s="241"/>
    </row>
    <row r="84" spans="1:19" s="151" customFormat="1" ht="18.75">
      <c r="A84" s="41"/>
      <c r="B84" s="41"/>
      <c r="C84" s="41"/>
      <c r="D84" s="41"/>
      <c r="E84" s="41"/>
      <c r="F84" s="150" t="s">
        <v>19</v>
      </c>
      <c r="G84" s="41"/>
      <c r="H84" s="241"/>
      <c r="I84" s="241"/>
      <c r="J84" s="241"/>
      <c r="K84" s="241"/>
      <c r="L84" s="241"/>
      <c r="M84" s="241"/>
      <c r="N84" s="241"/>
      <c r="O84" s="235"/>
      <c r="P84" s="241"/>
      <c r="Q84" s="150"/>
      <c r="R84" s="150"/>
      <c r="S84" s="241"/>
    </row>
    <row r="85" ht="18.75">
      <c r="O85" s="241"/>
    </row>
    <row r="86" ht="18.75">
      <c r="O86" s="241"/>
    </row>
    <row r="87" spans="7:15" ht="18.75">
      <c r="G87" s="257"/>
      <c r="O87" s="241"/>
    </row>
  </sheetData>
  <sheetProtection/>
  <mergeCells count="7">
    <mergeCell ref="A41:D41"/>
    <mergeCell ref="A1:G1"/>
    <mergeCell ref="A2:G2"/>
    <mergeCell ref="A3:G3"/>
    <mergeCell ref="A4:G4"/>
    <mergeCell ref="A5:G5"/>
    <mergeCell ref="A6:D6"/>
  </mergeCells>
  <printOptions/>
  <pageMargins left="0.58" right="0.32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0.28125" style="17" customWidth="1"/>
    <col min="2" max="2" width="13.57421875" style="17" customWidth="1"/>
    <col min="3" max="3" width="12.00390625" style="17" customWidth="1"/>
    <col min="4" max="4" width="12.7109375" style="17" customWidth="1"/>
    <col min="5" max="5" width="12.8515625" style="17" customWidth="1"/>
    <col min="6" max="16384" width="9.00390625" style="17" customWidth="1"/>
  </cols>
  <sheetData>
    <row r="1" spans="1:5" s="1" customFormat="1" ht="27" customHeight="1">
      <c r="A1" s="273" t="s">
        <v>265</v>
      </c>
      <c r="B1" s="273"/>
      <c r="C1" s="273"/>
      <c r="D1" s="273"/>
      <c r="E1" s="273"/>
    </row>
    <row r="2" spans="1:5" s="1" customFormat="1" ht="24">
      <c r="A2" s="273" t="s">
        <v>266</v>
      </c>
      <c r="B2" s="273"/>
      <c r="C2" s="273"/>
      <c r="D2" s="273"/>
      <c r="E2" s="273"/>
    </row>
    <row r="3" spans="1:5" s="222" customFormat="1" ht="24">
      <c r="A3" s="274" t="s">
        <v>281</v>
      </c>
      <c r="B3" s="274"/>
      <c r="C3" s="274"/>
      <c r="D3" s="274"/>
      <c r="E3" s="274"/>
    </row>
    <row r="4" spans="1:4" ht="24.75" thickBot="1">
      <c r="A4" s="221" t="s">
        <v>267</v>
      </c>
      <c r="B4" s="2"/>
      <c r="C4" s="1"/>
      <c r="D4" s="2"/>
    </row>
    <row r="5" spans="1:5" ht="24.75" thickBot="1">
      <c r="A5" s="3" t="s">
        <v>23</v>
      </c>
      <c r="B5" s="3" t="s">
        <v>24</v>
      </c>
      <c r="C5" s="242" t="s">
        <v>25</v>
      </c>
      <c r="D5" s="244" t="s">
        <v>26</v>
      </c>
      <c r="E5" s="262" t="s">
        <v>27</v>
      </c>
    </row>
    <row r="6" spans="1:5" ht="24">
      <c r="A6" s="200" t="s">
        <v>218</v>
      </c>
      <c r="B6" s="5">
        <v>348530</v>
      </c>
      <c r="C6" s="6">
        <v>7425</v>
      </c>
      <c r="D6" s="6">
        <v>2500</v>
      </c>
      <c r="E6" s="5">
        <f>SUM(B6+C6-D6)</f>
        <v>353455</v>
      </c>
    </row>
    <row r="7" spans="1:5" ht="24">
      <c r="A7" s="8" t="s">
        <v>28</v>
      </c>
      <c r="B7" s="5">
        <v>9423.73</v>
      </c>
      <c r="C7" s="6">
        <v>113.99</v>
      </c>
      <c r="D7" s="7">
        <v>0</v>
      </c>
      <c r="E7" s="5">
        <f>SUM(B7+C7-D7)</f>
        <v>9537.72</v>
      </c>
    </row>
    <row r="8" spans="1:5" ht="24">
      <c r="A8" s="8" t="s">
        <v>29</v>
      </c>
      <c r="B8" s="5">
        <v>5150.41</v>
      </c>
      <c r="C8" s="6"/>
      <c r="D8" s="7"/>
      <c r="E8" s="5">
        <f aca="true" t="shared" si="0" ref="E8:E17">SUM(B8+C8-D8)</f>
        <v>5150.41</v>
      </c>
    </row>
    <row r="9" spans="1:7" ht="24">
      <c r="A9" s="8" t="s">
        <v>30</v>
      </c>
      <c r="B9" s="5">
        <v>15460.72</v>
      </c>
      <c r="C9" s="6">
        <v>34294.97</v>
      </c>
      <c r="D9" s="7">
        <v>15460.72</v>
      </c>
      <c r="E9" s="5">
        <f t="shared" si="0"/>
        <v>34294.97</v>
      </c>
      <c r="G9" s="17">
        <f>SUM(350190+13609.65+2400+5150.41+1050+2314.76)+404220.93</f>
        <v>778935.75</v>
      </c>
    </row>
    <row r="10" spans="1:5" ht="24">
      <c r="A10" s="8" t="s">
        <v>31</v>
      </c>
      <c r="B10" s="5">
        <v>623744.59</v>
      </c>
      <c r="C10" s="6">
        <v>1184.62</v>
      </c>
      <c r="D10" s="7">
        <v>0</v>
      </c>
      <c r="E10" s="5">
        <f t="shared" si="0"/>
        <v>624929.21</v>
      </c>
    </row>
    <row r="11" spans="1:5" ht="24">
      <c r="A11" s="260" t="s">
        <v>288</v>
      </c>
      <c r="B11" s="5">
        <f>248300+59200+12976</f>
        <v>320476</v>
      </c>
      <c r="C11" s="6">
        <v>0</v>
      </c>
      <c r="D11" s="7">
        <v>0</v>
      </c>
      <c r="E11" s="5">
        <f t="shared" si="0"/>
        <v>320476</v>
      </c>
    </row>
    <row r="12" spans="1:5" ht="24">
      <c r="A12" s="259" t="s">
        <v>287</v>
      </c>
      <c r="B12" s="5">
        <v>0</v>
      </c>
      <c r="C12" s="6">
        <v>58422</v>
      </c>
      <c r="D12" s="7">
        <v>0</v>
      </c>
      <c r="E12" s="5">
        <f>SUM(B12+C12-D12)</f>
        <v>58422</v>
      </c>
    </row>
    <row r="13" spans="1:7" ht="24">
      <c r="A13" s="8" t="s">
        <v>209</v>
      </c>
      <c r="B13" s="5">
        <v>0</v>
      </c>
      <c r="C13" s="6"/>
      <c r="D13" s="7"/>
      <c r="E13" s="5">
        <f t="shared" si="0"/>
        <v>0</v>
      </c>
      <c r="G13" s="17" t="s">
        <v>19</v>
      </c>
    </row>
    <row r="14" spans="1:5" ht="24">
      <c r="A14" s="8" t="s">
        <v>280</v>
      </c>
      <c r="B14" s="5">
        <v>0</v>
      </c>
      <c r="C14" s="6">
        <v>53750</v>
      </c>
      <c r="D14" s="6">
        <v>0</v>
      </c>
      <c r="E14" s="252">
        <v>53750</v>
      </c>
    </row>
    <row r="15" spans="1:5" ht="24">
      <c r="A15" s="8" t="s">
        <v>208</v>
      </c>
      <c r="B15" s="8">
        <v>0</v>
      </c>
      <c r="C15" s="6"/>
      <c r="D15" s="6"/>
      <c r="E15" s="252"/>
    </row>
    <row r="16" spans="1:5" ht="24">
      <c r="A16" s="8" t="s">
        <v>217</v>
      </c>
      <c r="B16" s="8">
        <v>0</v>
      </c>
      <c r="C16" s="6">
        <v>997</v>
      </c>
      <c r="D16" s="6">
        <v>997</v>
      </c>
      <c r="E16" s="252">
        <f t="shared" si="0"/>
        <v>0</v>
      </c>
    </row>
    <row r="17" spans="1:5" ht="24">
      <c r="A17" s="8" t="s">
        <v>110</v>
      </c>
      <c r="B17" s="251">
        <v>0</v>
      </c>
      <c r="C17" s="253">
        <f>12149+8561+2984</f>
        <v>23694</v>
      </c>
      <c r="D17" s="255">
        <f>12149+8561+2984</f>
        <v>23694</v>
      </c>
      <c r="E17" s="252">
        <f t="shared" si="0"/>
        <v>0</v>
      </c>
    </row>
    <row r="18" spans="1:5" ht="24.75" thickBot="1">
      <c r="A18" s="9" t="s">
        <v>32</v>
      </c>
      <c r="B18" s="9">
        <f>SUM(B6:B17)</f>
        <v>1322785.45</v>
      </c>
      <c r="C18" s="250">
        <f>SUM(C6:C17)</f>
        <v>179881.58000000002</v>
      </c>
      <c r="D18" s="254">
        <f>SUM(D6:D17)</f>
        <v>42651.72</v>
      </c>
      <c r="E18" s="250">
        <f>SUM(E6:E17)</f>
        <v>1460015.31</v>
      </c>
    </row>
    <row r="19" spans="1:5" ht="24.75" thickTop="1">
      <c r="A19" s="16"/>
      <c r="B19" s="16"/>
      <c r="C19" s="16"/>
      <c r="D19" s="16"/>
      <c r="E19" s="16"/>
    </row>
    <row r="20" spans="1:4" ht="24.75" thickBot="1">
      <c r="A20" s="221" t="s">
        <v>289</v>
      </c>
      <c r="B20" s="2"/>
      <c r="C20" s="1"/>
      <c r="D20" s="2"/>
    </row>
    <row r="21" spans="1:5" ht="24.75" thickBot="1">
      <c r="A21" s="3" t="s">
        <v>23</v>
      </c>
      <c r="B21" s="3" t="s">
        <v>291</v>
      </c>
      <c r="C21" s="242" t="s">
        <v>292</v>
      </c>
      <c r="D21" s="244" t="s">
        <v>293</v>
      </c>
      <c r="E21" s="4" t="s">
        <v>294</v>
      </c>
    </row>
    <row r="22" spans="1:5" ht="24">
      <c r="A22" s="261" t="s">
        <v>290</v>
      </c>
      <c r="B22" s="5"/>
      <c r="C22" s="6"/>
      <c r="D22" s="6"/>
      <c r="E22" s="5">
        <f>SUM(B22+C22-D22)</f>
        <v>0</v>
      </c>
    </row>
    <row r="23" spans="1:5" ht="24">
      <c r="A23" s="8" t="s">
        <v>295</v>
      </c>
      <c r="B23" s="5">
        <v>3537000</v>
      </c>
      <c r="C23" s="6">
        <v>0</v>
      </c>
      <c r="D23" s="7">
        <v>3537000</v>
      </c>
      <c r="E23" s="5">
        <f>SUM(B23+C23-D23)</f>
        <v>0</v>
      </c>
    </row>
    <row r="24" spans="1:5" ht="24">
      <c r="A24" s="8" t="s">
        <v>296</v>
      </c>
      <c r="B24" s="5">
        <v>495000</v>
      </c>
      <c r="C24" s="6">
        <v>0</v>
      </c>
      <c r="D24" s="7">
        <v>495000</v>
      </c>
      <c r="E24" s="5">
        <f>SUM(B24+C24-D24)</f>
        <v>0</v>
      </c>
    </row>
    <row r="25" spans="1:5" ht="24">
      <c r="A25" s="8" t="s">
        <v>297</v>
      </c>
      <c r="B25" s="5">
        <f>300000+13500+3750</f>
        <v>317250</v>
      </c>
      <c r="C25" s="6">
        <v>0</v>
      </c>
      <c r="D25" s="5">
        <f>300000+13500+3750</f>
        <v>317250</v>
      </c>
      <c r="E25" s="5">
        <f>SUM(B25+C25-D25)</f>
        <v>0</v>
      </c>
    </row>
    <row r="26" spans="1:5" ht="24">
      <c r="A26" s="8" t="s">
        <v>298</v>
      </c>
      <c r="B26" s="5">
        <v>199000</v>
      </c>
      <c r="C26" s="6">
        <v>0</v>
      </c>
      <c r="D26" s="7">
        <v>199000</v>
      </c>
      <c r="E26" s="5">
        <f>SUM(B26+C26-D26)</f>
        <v>0</v>
      </c>
    </row>
    <row r="27" spans="1:5" ht="24">
      <c r="A27" s="8"/>
      <c r="B27" s="8"/>
      <c r="C27" s="6"/>
      <c r="D27" s="6"/>
      <c r="E27" s="252"/>
    </row>
    <row r="28" spans="1:5" ht="24">
      <c r="A28" s="8"/>
      <c r="B28" s="251"/>
      <c r="C28" s="253"/>
      <c r="D28" s="255"/>
      <c r="E28" s="252"/>
    </row>
    <row r="29" spans="1:5" ht="24.75" thickBot="1">
      <c r="A29" s="9" t="s">
        <v>32</v>
      </c>
      <c r="B29" s="9">
        <f>SUM(B22:B28)</f>
        <v>4548250</v>
      </c>
      <c r="C29" s="250">
        <f>SUM(C22:C28)</f>
        <v>0</v>
      </c>
      <c r="D29" s="254">
        <f>SUM(D22:D28)</f>
        <v>4548250</v>
      </c>
      <c r="E29" s="250">
        <f>SUM(E22:E28)</f>
        <v>0</v>
      </c>
    </row>
    <row r="30" ht="18" thickTop="1"/>
    <row r="49" spans="1:4" ht="24">
      <c r="A49" s="269" t="s">
        <v>125</v>
      </c>
      <c r="B49" s="269"/>
      <c r="C49" s="269"/>
      <c r="D49" s="269"/>
    </row>
    <row r="50" spans="1:4" ht="24.75" thickBot="1">
      <c r="A50" s="2"/>
      <c r="B50" s="2"/>
      <c r="C50" s="1"/>
      <c r="D50" s="2"/>
    </row>
    <row r="51" spans="1:5" ht="24.75" thickBot="1">
      <c r="A51" s="270" t="s">
        <v>23</v>
      </c>
      <c r="B51" s="271"/>
      <c r="C51" s="272"/>
      <c r="D51" s="245" t="s">
        <v>24</v>
      </c>
      <c r="E51" s="10"/>
    </row>
    <row r="52" spans="1:5" ht="24">
      <c r="A52" s="11" t="s">
        <v>126</v>
      </c>
      <c r="B52" s="12"/>
      <c r="C52" s="7"/>
      <c r="D52" s="246">
        <v>56700</v>
      </c>
      <c r="E52" s="12"/>
    </row>
    <row r="53" spans="1:5" ht="24">
      <c r="A53" s="11" t="s">
        <v>127</v>
      </c>
      <c r="B53" s="12"/>
      <c r="C53" s="7"/>
      <c r="D53" s="246">
        <v>21800</v>
      </c>
      <c r="E53" s="12"/>
    </row>
    <row r="54" spans="1:5" ht="24">
      <c r="A54" s="11" t="s">
        <v>128</v>
      </c>
      <c r="B54" s="12"/>
      <c r="C54" s="7"/>
      <c r="D54" s="246">
        <v>2835</v>
      </c>
      <c r="E54" s="12"/>
    </row>
    <row r="55" spans="1:5" ht="24">
      <c r="A55" s="11" t="s">
        <v>129</v>
      </c>
      <c r="B55" s="12"/>
      <c r="C55" s="7"/>
      <c r="D55" s="246">
        <v>1090</v>
      </c>
      <c r="E55" s="12"/>
    </row>
    <row r="56" spans="1:5" ht="24">
      <c r="A56" s="11"/>
      <c r="B56" s="12"/>
      <c r="C56" s="7"/>
      <c r="D56" s="246"/>
      <c r="E56" s="12"/>
    </row>
    <row r="57" spans="1:5" ht="24">
      <c r="A57" s="13"/>
      <c r="B57" s="12"/>
      <c r="C57" s="7"/>
      <c r="D57" s="246"/>
      <c r="E57" s="12"/>
    </row>
    <row r="58" spans="1:5" ht="24">
      <c r="A58" s="13"/>
      <c r="B58" s="12"/>
      <c r="C58" s="7"/>
      <c r="D58" s="246"/>
      <c r="E58" s="12"/>
    </row>
    <row r="59" spans="1:5" ht="24.75" thickBot="1">
      <c r="A59" s="14" t="s">
        <v>32</v>
      </c>
      <c r="B59" s="15"/>
      <c r="C59" s="243"/>
      <c r="D59" s="247">
        <f>SUM(D52:D58)</f>
        <v>82425</v>
      </c>
      <c r="E59" s="16"/>
    </row>
  </sheetData>
  <sheetProtection/>
  <mergeCells count="5">
    <mergeCell ref="A49:D49"/>
    <mergeCell ref="A51:C51"/>
    <mergeCell ref="A1:E1"/>
    <mergeCell ref="A2:E2"/>
    <mergeCell ref="A3:E3"/>
  </mergeCells>
  <printOptions/>
  <pageMargins left="0.43" right="0.1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9">
      <selection activeCell="D15" sqref="D15"/>
    </sheetView>
  </sheetViews>
  <sheetFormatPr defaultColWidth="9.140625" defaultRowHeight="19.5" customHeight="1"/>
  <cols>
    <col min="1" max="1" width="44.00390625" style="166" customWidth="1"/>
    <col min="2" max="2" width="10.140625" style="166" customWidth="1"/>
    <col min="3" max="3" width="13.7109375" style="166" customWidth="1"/>
    <col min="4" max="4" width="14.140625" style="166" customWidth="1"/>
    <col min="5" max="5" width="14.421875" style="166" customWidth="1"/>
    <col min="6" max="6" width="15.28125" style="167" bestFit="1" customWidth="1"/>
    <col min="7" max="16384" width="9.00390625" style="166" customWidth="1"/>
  </cols>
  <sheetData>
    <row r="1" spans="1:4" ht="21.75" customHeight="1">
      <c r="A1" s="275" t="s">
        <v>22</v>
      </c>
      <c r="B1" s="275"/>
      <c r="C1" s="275"/>
      <c r="D1" s="275"/>
    </row>
    <row r="2" spans="1:4" ht="21.75" customHeight="1">
      <c r="A2" s="276" t="s">
        <v>0</v>
      </c>
      <c r="B2" s="276"/>
      <c r="C2" s="276"/>
      <c r="D2" s="276"/>
    </row>
    <row r="3" spans="1:4" ht="21.75" customHeight="1">
      <c r="A3" s="276" t="s">
        <v>252</v>
      </c>
      <c r="B3" s="276"/>
      <c r="C3" s="276"/>
      <c r="D3" s="276"/>
    </row>
    <row r="4" spans="1:4" ht="21.75" customHeight="1">
      <c r="A4" s="277" t="s">
        <v>283</v>
      </c>
      <c r="B4" s="277"/>
      <c r="C4" s="277"/>
      <c r="D4" s="277"/>
    </row>
    <row r="5" spans="1:4" ht="19.5" customHeight="1">
      <c r="A5" s="168" t="s">
        <v>1</v>
      </c>
      <c r="B5" s="168" t="s">
        <v>2</v>
      </c>
      <c r="C5" s="168" t="s">
        <v>3</v>
      </c>
      <c r="D5" s="168" t="s">
        <v>4</v>
      </c>
    </row>
    <row r="6" spans="1:5" ht="19.5" customHeight="1">
      <c r="A6" s="169" t="s">
        <v>5</v>
      </c>
      <c r="B6" s="170" t="s">
        <v>223</v>
      </c>
      <c r="C6" s="171">
        <v>0</v>
      </c>
      <c r="D6" s="172"/>
      <c r="E6" s="173"/>
    </row>
    <row r="7" spans="1:4" ht="19.5" customHeight="1">
      <c r="A7" s="174" t="s">
        <v>6</v>
      </c>
      <c r="B7" s="175" t="s">
        <v>165</v>
      </c>
      <c r="C7" s="176">
        <f>1621909.94+44237.75-89000+558958.8-89800+218494.6-89000+75551.37-89000+526671.6-89000+519743.22-89800+239524.01-90600+342341.17-91400+148294.4-91400+175379.88-91400-93000+434081-93000+358265.5</f>
        <v>4177053.2399999998</v>
      </c>
      <c r="D7" s="177"/>
    </row>
    <row r="8" spans="1:5" ht="19.5" customHeight="1">
      <c r="A8" s="174" t="s">
        <v>7</v>
      </c>
      <c r="B8" s="175" t="s">
        <v>165</v>
      </c>
      <c r="C8" s="176">
        <f>501377.71+20957.63+1010.25+80000+20399+1184.62</f>
        <v>624929.2100000001</v>
      </c>
      <c r="D8" s="177"/>
      <c r="E8" s="178"/>
    </row>
    <row r="9" spans="1:6" ht="19.5" customHeight="1">
      <c r="A9" s="174" t="s">
        <v>8</v>
      </c>
      <c r="B9" s="175" t="s">
        <v>165</v>
      </c>
      <c r="C9" s="179">
        <f>12007435.4+5750281.95-1963674.76+4400624.87-6338233.15+1140490.45-3357049.74+10200+4770225.43-2470854.7+1797940.88-3086564.27+1151218.16-3280298.01+1964434.12-2908532.45-3000+2935575.11-2113025.66+2413635.43-3179229.66+1979754.08-2826970.43-180+3474544.28-1880321.14+4116571.49-5605954.41</f>
        <v>8899043.269999998</v>
      </c>
      <c r="D9" s="177"/>
      <c r="F9" s="167" t="e">
        <f>SUM(#REF!+#REF!+#REF!+#REF!)</f>
        <v>#REF!</v>
      </c>
    </row>
    <row r="10" spans="1:4" ht="19.5" customHeight="1">
      <c r="A10" s="174" t="s">
        <v>118</v>
      </c>
      <c r="B10" s="175" t="s">
        <v>166</v>
      </c>
      <c r="C10" s="179">
        <f>847937.43+75959.94</f>
        <v>923897.3700000001</v>
      </c>
      <c r="D10" s="177"/>
    </row>
    <row r="11" spans="1:4" ht="19.5" customHeight="1">
      <c r="A11" s="174" t="s">
        <v>114</v>
      </c>
      <c r="B11" s="175" t="s">
        <v>155</v>
      </c>
      <c r="C11" s="171">
        <f>299095+67846-28734-30192+31884+30644-28304-25310+35962-3186+43430-31742-35432+47696-38852+43854+41034-39894-38876-43734+91412-38434</f>
        <v>350167</v>
      </c>
      <c r="D11" s="180"/>
    </row>
    <row r="12" spans="1:4" ht="19.5" customHeight="1">
      <c r="A12" s="174" t="s">
        <v>147</v>
      </c>
      <c r="B12" s="175" t="s">
        <v>224</v>
      </c>
      <c r="C12" s="171">
        <v>0</v>
      </c>
      <c r="D12" s="180"/>
    </row>
    <row r="13" spans="1:4" ht="19.5" customHeight="1">
      <c r="A13" s="174" t="s">
        <v>148</v>
      </c>
      <c r="B13" s="175" t="s">
        <v>168</v>
      </c>
      <c r="C13" s="171">
        <v>0</v>
      </c>
      <c r="D13" s="180"/>
    </row>
    <row r="14" spans="1:4" ht="19.5" customHeight="1">
      <c r="A14" s="174" t="s">
        <v>115</v>
      </c>
      <c r="B14" s="175" t="s">
        <v>156</v>
      </c>
      <c r="C14" s="171">
        <v>0</v>
      </c>
      <c r="D14" s="177"/>
    </row>
    <row r="15" spans="1:4" ht="19.5" customHeight="1">
      <c r="A15" s="174" t="s">
        <v>216</v>
      </c>
      <c r="B15" s="175"/>
      <c r="C15" s="171">
        <v>0</v>
      </c>
      <c r="D15" s="177"/>
    </row>
    <row r="16" spans="1:6" ht="19.5" customHeight="1">
      <c r="A16" s="181" t="s">
        <v>9</v>
      </c>
      <c r="B16" s="175"/>
      <c r="C16" s="171"/>
      <c r="D16" s="177"/>
      <c r="E16" s="173"/>
      <c r="F16" s="167" t="e">
        <f>SUM(#REF!+#REF!)</f>
        <v>#REF!</v>
      </c>
    </row>
    <row r="17" spans="1:5" ht="19.5" customHeight="1">
      <c r="A17" s="174" t="s">
        <v>83</v>
      </c>
      <c r="B17" s="175" t="s">
        <v>169</v>
      </c>
      <c r="C17" s="171">
        <f>8138+1000+88000+441300+860+12294+1000+88800+441900-600+322134+93727.8+24759.9+266455+10216+1000+88000+439800+10216+1000+88000+436500+544770+9958+432500+88800+1000+535551+9458+1000+430900+90400+1189+8311+1000+428400+90400+8561+1000+90400+427600+427600+92000+1000+8561+533260-12149</f>
        <v>7115970.7</v>
      </c>
      <c r="D17" s="177"/>
      <c r="E17" s="178"/>
    </row>
    <row r="18" spans="1:5" ht="19.5" customHeight="1">
      <c r="A18" s="174" t="s">
        <v>10</v>
      </c>
      <c r="B18" s="175" t="s">
        <v>170</v>
      </c>
      <c r="C18" s="171">
        <f>218720+218720+218720+218720+218720+218720+218720+218720+218720+218720+218720+218720</f>
        <v>2624640</v>
      </c>
      <c r="D18" s="177"/>
      <c r="E18" s="178"/>
    </row>
    <row r="19" spans="1:5" ht="19.5" customHeight="1">
      <c r="A19" s="174" t="s">
        <v>11</v>
      </c>
      <c r="B19" s="175" t="s">
        <v>171</v>
      </c>
      <c r="C19" s="171">
        <f>311293.12+37910+162750+364460.76+37910+198190+310460+37910+207040+310460+37910+207040+555410+299460+11000+37910+181244.83+20633.87+563013.33+548518.7+546930.64+336000+38520+173950+548470+665480</f>
        <v>6749875.25</v>
      </c>
      <c r="D19" s="177"/>
      <c r="E19" s="178">
        <f>SUM(C19:C19)</f>
        <v>6749875.25</v>
      </c>
    </row>
    <row r="20" spans="1:5" ht="19.5" customHeight="1">
      <c r="A20" s="174" t="s">
        <v>12</v>
      </c>
      <c r="B20" s="175" t="s">
        <v>172</v>
      </c>
      <c r="C20" s="171">
        <f>6000+3000+6000+6000+10529+6000+3000+9000+6000+3000+21430+22100</f>
        <v>102059</v>
      </c>
      <c r="D20" s="177"/>
      <c r="E20" s="173"/>
    </row>
    <row r="21" spans="1:10" ht="19.5" customHeight="1">
      <c r="A21" s="182" t="s">
        <v>13</v>
      </c>
      <c r="B21" s="175" t="s">
        <v>173</v>
      </c>
      <c r="C21" s="171">
        <f>185804.5+675728.5+553284.5-10200+3652-16400+409774.5+20000+441214.5+90750+500+131636.78+36070+782439+617317.5+24300+442265.89-6000+305076.74+608336.7+562147.41</f>
        <v>5857698.5200000005</v>
      </c>
      <c r="D21" s="177"/>
      <c r="F21" s="167">
        <f>SUM(1239800+139500+2100+900)</f>
        <v>1382300</v>
      </c>
      <c r="J21" s="178" t="e">
        <f>SUM(#REF!)</f>
        <v>#REF!</v>
      </c>
    </row>
    <row r="22" spans="1:6" ht="19.5" customHeight="1">
      <c r="A22" s="174" t="s">
        <v>14</v>
      </c>
      <c r="B22" s="175" t="s">
        <v>174</v>
      </c>
      <c r="C22" s="171">
        <f>24271.7+20677+16400+264443.1+125202.8+17306+16154.4+87860+884+271267.32+300755.92+264054.9+48036+572790.46</f>
        <v>2030103.6</v>
      </c>
      <c r="D22" s="177"/>
      <c r="E22" s="178"/>
      <c r="F22" s="167">
        <f>405400+43000+2100+900</f>
        <v>451400</v>
      </c>
    </row>
    <row r="23" spans="1:9" ht="19.5" customHeight="1">
      <c r="A23" s="174" t="s">
        <v>15</v>
      </c>
      <c r="B23" s="175" t="s">
        <v>175</v>
      </c>
      <c r="C23" s="171">
        <f>77025.89+43012.09+59276.7+75706.78+61611.18+52566.35+617.02+2347+5842.2+41340.81+52176.73+58070.89+52561.89+49406.82+52321.79</f>
        <v>683884.14</v>
      </c>
      <c r="D23" s="177"/>
      <c r="F23" s="167">
        <f>SUM(F21-F22)</f>
        <v>930900</v>
      </c>
      <c r="I23" s="173"/>
    </row>
    <row r="24" spans="1:6" ht="19.5" customHeight="1">
      <c r="A24" s="174" t="s">
        <v>16</v>
      </c>
      <c r="B24" s="175" t="s">
        <v>225</v>
      </c>
      <c r="C24" s="171">
        <f>309000+315000+165861.77+305000+5000+351745</f>
        <v>1451606.77</v>
      </c>
      <c r="D24" s="177"/>
      <c r="F24" s="167" t="e">
        <f>SUM(#REF!-F23)</f>
        <v>#REF!</v>
      </c>
    </row>
    <row r="25" spans="1:4" ht="19.5" customHeight="1">
      <c r="A25" s="174" t="s">
        <v>17</v>
      </c>
      <c r="B25" s="175" t="s">
        <v>176</v>
      </c>
      <c r="C25" s="171">
        <f>3500+1891.56+46250.75+9200+38380</f>
        <v>99222.31</v>
      </c>
      <c r="D25" s="177"/>
    </row>
    <row r="26" spans="1:6" ht="19.5" customHeight="1">
      <c r="A26" s="174" t="s">
        <v>18</v>
      </c>
      <c r="B26" s="175" t="s">
        <v>177</v>
      </c>
      <c r="C26" s="171">
        <f>405000+26000+497000+267000</f>
        <v>1195000</v>
      </c>
      <c r="D26" s="177"/>
      <c r="F26" s="167">
        <f>800+1500+800+1500</f>
        <v>4600</v>
      </c>
    </row>
    <row r="27" spans="1:4" ht="19.5" customHeight="1">
      <c r="A27" s="174" t="s">
        <v>285</v>
      </c>
      <c r="B27" s="175" t="s">
        <v>206</v>
      </c>
      <c r="C27" s="171">
        <v>2782000</v>
      </c>
      <c r="D27" s="177"/>
    </row>
    <row r="28" spans="1:4" ht="19.5" customHeight="1">
      <c r="A28" s="174" t="s">
        <v>20</v>
      </c>
      <c r="B28" s="175" t="s">
        <v>178</v>
      </c>
      <c r="C28" s="171">
        <v>0</v>
      </c>
      <c r="D28" s="177"/>
    </row>
    <row r="29" spans="1:4" ht="19.5" customHeight="1">
      <c r="A29" s="174" t="s">
        <v>149</v>
      </c>
      <c r="B29" s="175" t="s">
        <v>179</v>
      </c>
      <c r="C29" s="171">
        <v>0</v>
      </c>
      <c r="D29" s="183"/>
    </row>
    <row r="30" spans="1:6" ht="19.5" customHeight="1">
      <c r="A30" s="229" t="s">
        <v>277</v>
      </c>
      <c r="B30" s="175" t="s">
        <v>180</v>
      </c>
      <c r="C30" s="184">
        <v>0</v>
      </c>
      <c r="D30" s="185">
        <f>695500+2086500</f>
        <v>2782000</v>
      </c>
      <c r="E30" s="186"/>
      <c r="F30" s="167" t="e">
        <f>SUM(#REF!-449500)</f>
        <v>#REF!</v>
      </c>
    </row>
    <row r="31" spans="1:4" ht="19.5" customHeight="1">
      <c r="A31" s="174" t="s">
        <v>108</v>
      </c>
      <c r="B31" s="175" t="s">
        <v>154</v>
      </c>
      <c r="C31" s="187">
        <v>0</v>
      </c>
      <c r="D31" s="171">
        <f>3562934.19+1000+1000+1000+1000-266455+1000+1000-7500-18000-9600+1000-123407.6-3664+1000+1000+1000+1000+1000</f>
        <v>3146307.59</v>
      </c>
    </row>
    <row r="32" spans="1:6" ht="19.5" customHeight="1">
      <c r="A32" s="174" t="s">
        <v>109</v>
      </c>
      <c r="B32" s="175" t="s">
        <v>181</v>
      </c>
      <c r="C32" s="188">
        <v>0</v>
      </c>
      <c r="D32" s="171">
        <f>9143378.35-768000-477000-497000-497000-1091500</f>
        <v>5812878.35</v>
      </c>
      <c r="E32" s="189"/>
      <c r="F32" s="167" t="e">
        <f>SUM(#REF!)</f>
        <v>#REF!</v>
      </c>
    </row>
    <row r="33" spans="1:4" ht="19.5" customHeight="1">
      <c r="A33" s="174" t="s">
        <v>254</v>
      </c>
      <c r="B33" s="175" t="s">
        <v>152</v>
      </c>
      <c r="C33" s="188">
        <v>0</v>
      </c>
      <c r="D33" s="171">
        <f>5832631.7+991675.67+15345+1251325.05+4819076.74+2340174.01+1672380.52+3109911.98+2763562.86+2157055.41+3610016.83+1726574.36+2176219</f>
        <v>32465949.130000003</v>
      </c>
    </row>
    <row r="34" spans="1:4" ht="19.5" customHeight="1">
      <c r="A34" s="190" t="s">
        <v>255</v>
      </c>
      <c r="B34" s="175" t="s">
        <v>182</v>
      </c>
      <c r="C34" s="188">
        <v>0</v>
      </c>
      <c r="D34" s="171">
        <f>1188819.3+31153.58-18979.72+40571.46-21924.47+103591.65-47541.32+25866.89-22186.91+33593.54-22259.82+89314.48-57233.21+179881.58-42651.72</f>
        <v>1460015.31</v>
      </c>
    </row>
    <row r="35" spans="1:4" ht="19.5" customHeight="1" thickBot="1">
      <c r="A35" s="195" t="s">
        <v>21</v>
      </c>
      <c r="B35" s="191"/>
      <c r="C35" s="201">
        <f>SUM(C6:C34)</f>
        <v>45667150.38000001</v>
      </c>
      <c r="D35" s="201">
        <f>SUM(D6:D34)</f>
        <v>45667150.38</v>
      </c>
    </row>
    <row r="36" spans="1:4" ht="19.5" customHeight="1" thickTop="1">
      <c r="A36" s="192"/>
      <c r="B36" s="193"/>
      <c r="C36" s="194"/>
      <c r="D36" s="194"/>
    </row>
    <row r="37" spans="1:4" ht="19.5" customHeight="1">
      <c r="A37" s="192"/>
      <c r="B37" s="193"/>
      <c r="C37" s="194"/>
      <c r="D37" s="194"/>
    </row>
    <row r="38" spans="1:4" ht="19.5" customHeight="1">
      <c r="A38" s="192"/>
      <c r="B38" s="193"/>
      <c r="C38" s="194"/>
      <c r="D38" s="194"/>
    </row>
    <row r="39" spans="1:4" ht="19.5" customHeight="1">
      <c r="A39" s="192"/>
      <c r="B39" s="193"/>
      <c r="C39" s="194"/>
      <c r="D39" s="194"/>
    </row>
    <row r="40" spans="1:4" ht="19.5" customHeight="1">
      <c r="A40" s="192"/>
      <c r="B40" s="193"/>
      <c r="C40" s="194"/>
      <c r="D40" s="194"/>
    </row>
    <row r="41" spans="1:4" ht="19.5" customHeight="1">
      <c r="A41" s="192"/>
      <c r="B41" s="193"/>
      <c r="C41" s="194"/>
      <c r="D41" s="194"/>
    </row>
    <row r="42" spans="1:4" ht="19.5" customHeight="1">
      <c r="A42" s="192"/>
      <c r="B42" s="193"/>
      <c r="C42" s="194"/>
      <c r="D42" s="194">
        <f>SUM(D35-C35)</f>
        <v>-7.450580596923828E-09</v>
      </c>
    </row>
    <row r="43" spans="1:4" ht="19.5" customHeight="1">
      <c r="A43" s="192"/>
      <c r="B43" s="193"/>
      <c r="C43" s="194"/>
      <c r="D43" s="194"/>
    </row>
    <row r="44" spans="1:4" ht="19.5" customHeight="1">
      <c r="A44" s="192"/>
      <c r="B44" s="193"/>
      <c r="C44" s="194"/>
      <c r="D44" s="194"/>
    </row>
    <row r="45" spans="1:4" ht="19.5" customHeight="1">
      <c r="A45" s="192"/>
      <c r="B45" s="193"/>
      <c r="C45" s="194"/>
      <c r="D45" s="194"/>
    </row>
    <row r="46" spans="1:4" ht="19.5" customHeight="1">
      <c r="A46" s="192"/>
      <c r="B46" s="193"/>
      <c r="C46" s="194"/>
      <c r="D46" s="194"/>
    </row>
    <row r="47" spans="1:4" ht="19.5" customHeight="1">
      <c r="A47" s="192"/>
      <c r="B47" s="193"/>
      <c r="C47" s="194"/>
      <c r="D47" s="194"/>
    </row>
    <row r="48" ht="19.5" customHeight="1">
      <c r="C48" s="173"/>
    </row>
    <row r="49" spans="3:4" ht="19.5" customHeight="1">
      <c r="C49" s="173"/>
      <c r="D49" s="173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49">
      <selection activeCell="E80" sqref="E80"/>
    </sheetView>
  </sheetViews>
  <sheetFormatPr defaultColWidth="9.140625" defaultRowHeight="19.5" customHeight="1"/>
  <cols>
    <col min="1" max="1" width="43.140625" style="140" customWidth="1"/>
    <col min="2" max="2" width="9.140625" style="75" customWidth="1"/>
    <col min="3" max="3" width="13.421875" style="141" customWidth="1"/>
    <col min="4" max="4" width="14.00390625" style="140" customWidth="1"/>
    <col min="5" max="5" width="13.140625" style="210" customWidth="1"/>
    <col min="6" max="6" width="9.00390625" style="75" customWidth="1"/>
    <col min="7" max="7" width="10.421875" style="75" bestFit="1" customWidth="1"/>
    <col min="8" max="16384" width="9.00390625" style="75" customWidth="1"/>
  </cols>
  <sheetData>
    <row r="1" spans="1:5" ht="31.5" customHeight="1">
      <c r="A1" s="278" t="s">
        <v>107</v>
      </c>
      <c r="B1" s="278"/>
      <c r="C1" s="278"/>
      <c r="D1" s="278"/>
      <c r="E1" s="278"/>
    </row>
    <row r="2" spans="1:5" ht="24" customHeight="1">
      <c r="A2" s="279" t="s">
        <v>84</v>
      </c>
      <c r="B2" s="279"/>
      <c r="C2" s="279"/>
      <c r="D2" s="279"/>
      <c r="E2" s="279"/>
    </row>
    <row r="3" spans="1:5" ht="24" customHeight="1">
      <c r="A3" s="279" t="s">
        <v>269</v>
      </c>
      <c r="B3" s="279"/>
      <c r="C3" s="279"/>
      <c r="D3" s="279"/>
      <c r="E3" s="279"/>
    </row>
    <row r="4" spans="1:5" ht="24" customHeight="1">
      <c r="A4" s="279" t="s">
        <v>281</v>
      </c>
      <c r="B4" s="279"/>
      <c r="C4" s="279"/>
      <c r="D4" s="279"/>
      <c r="E4" s="279"/>
    </row>
    <row r="5" spans="1:5" ht="24" customHeight="1">
      <c r="A5" s="76"/>
      <c r="B5" s="76"/>
      <c r="C5" s="76"/>
      <c r="D5" s="76"/>
      <c r="E5" s="223" t="s">
        <v>268</v>
      </c>
    </row>
    <row r="6" spans="1:5" ht="19.5" customHeight="1">
      <c r="A6" s="77"/>
      <c r="B6" s="78" t="s">
        <v>2</v>
      </c>
      <c r="C6" s="79" t="s">
        <v>36</v>
      </c>
      <c r="D6" s="80" t="s">
        <v>85</v>
      </c>
      <c r="E6" s="81" t="s">
        <v>86</v>
      </c>
    </row>
    <row r="7" spans="1:5" ht="21.75" customHeight="1">
      <c r="A7" s="82" t="s">
        <v>226</v>
      </c>
      <c r="B7" s="83">
        <v>41000000</v>
      </c>
      <c r="C7" s="84"/>
      <c r="D7" s="85"/>
      <c r="E7" s="86"/>
    </row>
    <row r="8" spans="1:5" ht="21.75" customHeight="1">
      <c r="A8" s="87" t="s">
        <v>87</v>
      </c>
      <c r="B8" s="88" t="s">
        <v>183</v>
      </c>
      <c r="C8" s="84"/>
      <c r="D8" s="85"/>
      <c r="E8" s="86"/>
    </row>
    <row r="9" spans="1:7" ht="21.75" customHeight="1">
      <c r="A9" s="89" t="s">
        <v>88</v>
      </c>
      <c r="B9" s="88" t="s">
        <v>228</v>
      </c>
      <c r="C9" s="90">
        <v>440000</v>
      </c>
      <c r="D9" s="91">
        <f>1345+56197.01+245635.92+102542+300+23825.5+240+630+100</f>
        <v>430815.43</v>
      </c>
      <c r="E9" s="92">
        <v>100</v>
      </c>
      <c r="G9" s="93">
        <f>SUM(C9-D9)</f>
        <v>9184.570000000007</v>
      </c>
    </row>
    <row r="10" spans="1:7" ht="21.75" customHeight="1">
      <c r="A10" s="89" t="s">
        <v>89</v>
      </c>
      <c r="B10" s="88" t="s">
        <v>229</v>
      </c>
      <c r="C10" s="90">
        <v>46000</v>
      </c>
      <c r="D10" s="91">
        <f>7410.16+8453.37+7386.11+8741.47+4896.78+2033.38+594.95+1287.25+2165.97</f>
        <v>42969.439999999995</v>
      </c>
      <c r="E10" s="92">
        <v>2165.97</v>
      </c>
      <c r="G10" s="93">
        <f>SUM(C10-D10)</f>
        <v>3030.560000000005</v>
      </c>
    </row>
    <row r="11" spans="1:7" ht="21.75" customHeight="1">
      <c r="A11" s="89" t="s">
        <v>90</v>
      </c>
      <c r="B11" s="94" t="s">
        <v>230</v>
      </c>
      <c r="C11" s="95">
        <v>24000</v>
      </c>
      <c r="D11" s="91">
        <f>10780+3180+11600</f>
        <v>25560</v>
      </c>
      <c r="E11" s="92">
        <v>0</v>
      </c>
      <c r="G11" s="93">
        <f>SUM(C11-D11)</f>
        <v>-1560</v>
      </c>
    </row>
    <row r="12" spans="1:5" ht="21.75" customHeight="1">
      <c r="A12" s="96" t="s">
        <v>21</v>
      </c>
      <c r="B12" s="97"/>
      <c r="C12" s="98">
        <f>SUM(C9:C11)</f>
        <v>510000</v>
      </c>
      <c r="D12" s="99">
        <f>SUM(D9:D11)</f>
        <v>499344.87</v>
      </c>
      <c r="E12" s="100">
        <f>SUM(E9:E11)</f>
        <v>2265.97</v>
      </c>
    </row>
    <row r="13" spans="1:5" ht="21.75" customHeight="1">
      <c r="A13" s="87" t="s">
        <v>91</v>
      </c>
      <c r="B13" s="97">
        <v>41200000</v>
      </c>
      <c r="C13" s="101"/>
      <c r="D13" s="91"/>
      <c r="E13" s="203"/>
    </row>
    <row r="14" spans="1:7" ht="21.75" customHeight="1">
      <c r="A14" s="89" t="s">
        <v>238</v>
      </c>
      <c r="B14" s="88" t="s">
        <v>231</v>
      </c>
      <c r="C14" s="90">
        <v>73000</v>
      </c>
      <c r="D14" s="92">
        <f>13880+2640+12480+15200+120+3400+10840+40+14280+480+14240+1840</f>
        <v>89440</v>
      </c>
      <c r="E14" s="92">
        <v>1840</v>
      </c>
      <c r="G14" s="102">
        <f aca="true" t="shared" si="0" ref="G14:G25">SUM(C14-D14)</f>
        <v>-16440</v>
      </c>
    </row>
    <row r="15" spans="1:7" ht="21.75" customHeight="1">
      <c r="A15" s="89" t="s">
        <v>239</v>
      </c>
      <c r="B15" s="88" t="s">
        <v>234</v>
      </c>
      <c r="C15" s="90">
        <v>500</v>
      </c>
      <c r="D15" s="92">
        <f>100+130+50+120+120+50+50</f>
        <v>620</v>
      </c>
      <c r="E15" s="92">
        <v>50</v>
      </c>
      <c r="G15" s="102">
        <f t="shared" si="0"/>
        <v>-120</v>
      </c>
    </row>
    <row r="16" spans="1:7" ht="21.75" customHeight="1">
      <c r="A16" s="89" t="s">
        <v>240</v>
      </c>
      <c r="B16" s="88" t="s">
        <v>232</v>
      </c>
      <c r="C16" s="90">
        <v>1500</v>
      </c>
      <c r="D16" s="92">
        <f>118.75+48+684+285+51</f>
        <v>1186.75</v>
      </c>
      <c r="E16" s="92">
        <v>51</v>
      </c>
      <c r="G16" s="102">
        <f t="shared" si="0"/>
        <v>313.25</v>
      </c>
    </row>
    <row r="17" spans="1:7" ht="21.75" customHeight="1">
      <c r="A17" s="89" t="s">
        <v>241</v>
      </c>
      <c r="B17" s="88" t="s">
        <v>184</v>
      </c>
      <c r="C17" s="90">
        <v>10000</v>
      </c>
      <c r="D17" s="92">
        <v>0</v>
      </c>
      <c r="E17" s="92">
        <v>0</v>
      </c>
      <c r="G17" s="102"/>
    </row>
    <row r="18" spans="1:7" ht="21.75" customHeight="1">
      <c r="A18" s="89" t="s">
        <v>242</v>
      </c>
      <c r="B18" s="88" t="s">
        <v>233</v>
      </c>
      <c r="C18" s="90">
        <v>500</v>
      </c>
      <c r="D18" s="92">
        <f>19.4+19.4+232.8+38.8+116.4+19.4+97+38.8+19.4+19.4</f>
        <v>620.8</v>
      </c>
      <c r="E18" s="92">
        <v>19.4</v>
      </c>
      <c r="G18" s="102"/>
    </row>
    <row r="19" spans="1:7" ht="21.75" customHeight="1">
      <c r="A19" s="89" t="s">
        <v>243</v>
      </c>
      <c r="B19" s="88" t="s">
        <v>235</v>
      </c>
      <c r="C19" s="90">
        <v>3000000</v>
      </c>
      <c r="D19" s="92">
        <f>62616.6+56433.2+37442.25+424192.85+11592.8+88311.25+2571.4+31439.45+12955.9+65648.1+43212.85+286582.1+51572.05+133633.25+304164.8+299424.05</f>
        <v>1911792.9000000001</v>
      </c>
      <c r="E19" s="92">
        <v>299424.05</v>
      </c>
      <c r="G19" s="102"/>
    </row>
    <row r="20" spans="1:7" ht="21.75" customHeight="1">
      <c r="A20" s="89" t="s">
        <v>244</v>
      </c>
      <c r="B20" s="83">
        <v>41219999</v>
      </c>
      <c r="C20" s="90">
        <v>6000</v>
      </c>
      <c r="D20" s="103">
        <f>340+11040+1860+2300+100+240+120+360+120+100+240+340+760+240+580+1000+580</f>
        <v>20320</v>
      </c>
      <c r="E20" s="103">
        <v>580</v>
      </c>
      <c r="G20" s="102">
        <f t="shared" si="0"/>
        <v>-14320</v>
      </c>
    </row>
    <row r="21" spans="1:7" ht="21.75" customHeight="1">
      <c r="A21" s="89" t="s">
        <v>245</v>
      </c>
      <c r="B21" s="88" t="s">
        <v>236</v>
      </c>
      <c r="C21" s="90">
        <v>5000</v>
      </c>
      <c r="D21" s="103">
        <f>450+1900+200+300+250+900</f>
        <v>4000</v>
      </c>
      <c r="E21" s="103">
        <v>0</v>
      </c>
      <c r="G21" s="102">
        <f t="shared" si="0"/>
        <v>1000</v>
      </c>
    </row>
    <row r="22" spans="1:7" ht="21.75" customHeight="1">
      <c r="A22" s="89" t="s">
        <v>246</v>
      </c>
      <c r="B22" s="83">
        <v>41220009</v>
      </c>
      <c r="C22" s="104">
        <v>1000</v>
      </c>
      <c r="D22" s="103">
        <f>35+102.2+107.4+89.9+277.4+46.2+2.9+56.55+67.9+2.6+4.75+35.55+52.55+182.4+179.35+232.19+153.45</f>
        <v>1628.29</v>
      </c>
      <c r="E22" s="103">
        <v>153.45</v>
      </c>
      <c r="G22" s="102">
        <f t="shared" si="0"/>
        <v>-628.29</v>
      </c>
    </row>
    <row r="23" spans="1:7" ht="21.75" customHeight="1">
      <c r="A23" s="89" t="s">
        <v>247</v>
      </c>
      <c r="B23" s="105">
        <v>41220010</v>
      </c>
      <c r="C23" s="90">
        <v>1000</v>
      </c>
      <c r="D23" s="92">
        <f>15345+42174</f>
        <v>57519</v>
      </c>
      <c r="E23" s="92">
        <v>0</v>
      </c>
      <c r="G23" s="102"/>
    </row>
    <row r="24" spans="1:7" ht="21.75" customHeight="1">
      <c r="A24" s="89" t="s">
        <v>151</v>
      </c>
      <c r="B24" s="88" t="s">
        <v>237</v>
      </c>
      <c r="C24" s="90">
        <v>200</v>
      </c>
      <c r="D24" s="92">
        <f>20+20+20+60+20</f>
        <v>140</v>
      </c>
      <c r="E24" s="92">
        <v>20</v>
      </c>
      <c r="G24" s="102">
        <f>SUM(C24-D24)</f>
        <v>60</v>
      </c>
    </row>
    <row r="25" spans="1:7" ht="21.75" customHeight="1">
      <c r="A25" s="89" t="s">
        <v>248</v>
      </c>
      <c r="B25" s="94" t="s">
        <v>185</v>
      </c>
      <c r="C25" s="104">
        <v>1000</v>
      </c>
      <c r="D25" s="92">
        <v>0</v>
      </c>
      <c r="E25" s="92">
        <v>0</v>
      </c>
      <c r="G25" s="102">
        <f t="shared" si="0"/>
        <v>1000</v>
      </c>
    </row>
    <row r="26" spans="1:5" ht="21.75" customHeight="1">
      <c r="A26" s="96" t="s">
        <v>21</v>
      </c>
      <c r="B26" s="88"/>
      <c r="C26" s="106">
        <f>SUM(C14:C25)</f>
        <v>3099700</v>
      </c>
      <c r="D26" s="79">
        <f>SUM(D13:D25)</f>
        <v>2087267.7400000002</v>
      </c>
      <c r="E26" s="100">
        <f>SUM(E14:E25)</f>
        <v>302137.9</v>
      </c>
    </row>
    <row r="27" spans="1:5" ht="21.75" customHeight="1">
      <c r="A27" s="87" t="s">
        <v>92</v>
      </c>
      <c r="B27" s="83">
        <v>41300000</v>
      </c>
      <c r="C27" s="84"/>
      <c r="D27" s="85"/>
      <c r="E27" s="202"/>
    </row>
    <row r="28" spans="1:7" s="228" customFormat="1" ht="21.75" customHeight="1">
      <c r="A28" s="89" t="s">
        <v>93</v>
      </c>
      <c r="B28" s="83">
        <v>41300003</v>
      </c>
      <c r="C28" s="90">
        <v>130000</v>
      </c>
      <c r="D28" s="107">
        <f>54039.81+4070.53+45598.71+14723.74</f>
        <v>118432.79</v>
      </c>
      <c r="E28" s="108">
        <f>6908.04+7815.7</f>
        <v>14723.74</v>
      </c>
      <c r="G28" s="256">
        <f>SUM(C28-D28)</f>
        <v>11567.210000000006</v>
      </c>
    </row>
    <row r="29" spans="1:7" ht="21.75" customHeight="1">
      <c r="A29" s="89" t="s">
        <v>257</v>
      </c>
      <c r="B29" s="88" t="s">
        <v>186</v>
      </c>
      <c r="C29" s="90">
        <v>1000</v>
      </c>
      <c r="D29" s="91"/>
      <c r="E29" s="92">
        <v>0</v>
      </c>
      <c r="G29" s="93">
        <f>SUM(C29-D29)</f>
        <v>1000</v>
      </c>
    </row>
    <row r="30" spans="1:5" ht="21.75" customHeight="1">
      <c r="A30" s="96" t="s">
        <v>21</v>
      </c>
      <c r="B30" s="109"/>
      <c r="C30" s="98">
        <f>SUM(C28:C29)</f>
        <v>131000</v>
      </c>
      <c r="D30" s="99">
        <f>SUM(D28:D29)</f>
        <v>118432.79</v>
      </c>
      <c r="E30" s="100">
        <f>SUM(E28:E29)</f>
        <v>14723.74</v>
      </c>
    </row>
    <row r="31" spans="1:5" ht="21.75" customHeight="1">
      <c r="A31" s="87" t="s">
        <v>94</v>
      </c>
      <c r="B31" s="83">
        <v>41400000</v>
      </c>
      <c r="C31" s="110"/>
      <c r="D31" s="111"/>
      <c r="E31" s="205"/>
    </row>
    <row r="32" spans="1:7" ht="21.75" customHeight="1">
      <c r="A32" s="112" t="s">
        <v>256</v>
      </c>
      <c r="B32" s="83">
        <v>41400006</v>
      </c>
      <c r="C32" s="113">
        <v>350000</v>
      </c>
      <c r="D32" s="92">
        <f>67846+31884+30644+35962+43430+47696+84888+91412</f>
        <v>433762</v>
      </c>
      <c r="E32" s="92">
        <v>0</v>
      </c>
      <c r="G32" s="93">
        <f>SUM(C32-D32)</f>
        <v>-83762</v>
      </c>
    </row>
    <row r="33" spans="1:5" ht="21.75" customHeight="1">
      <c r="A33" s="114" t="s">
        <v>21</v>
      </c>
      <c r="B33" s="115"/>
      <c r="C33" s="98">
        <f>SUM(C32)</f>
        <v>350000</v>
      </c>
      <c r="D33" s="79">
        <f>SUM(D31:D32)</f>
        <v>433762</v>
      </c>
      <c r="E33" s="100">
        <f>SUM(E31:E32)</f>
        <v>0</v>
      </c>
    </row>
    <row r="34" spans="1:5" ht="19.5" customHeight="1">
      <c r="A34" s="76"/>
      <c r="B34" s="116"/>
      <c r="C34" s="117"/>
      <c r="D34" s="91"/>
      <c r="E34" s="206"/>
    </row>
    <row r="35" spans="1:5" ht="19.5" customHeight="1">
      <c r="A35" s="76"/>
      <c r="B35" s="116"/>
      <c r="C35" s="117"/>
      <c r="D35" s="91"/>
      <c r="E35" s="206"/>
    </row>
    <row r="36" spans="1:5" ht="19.5" customHeight="1">
      <c r="A36" s="76"/>
      <c r="B36" s="116"/>
      <c r="C36" s="117"/>
      <c r="D36" s="91"/>
      <c r="E36" s="211" t="s">
        <v>221</v>
      </c>
    </row>
    <row r="37" spans="1:5" ht="21.75" customHeight="1">
      <c r="A37" s="81" t="s">
        <v>23</v>
      </c>
      <c r="B37" s="78" t="s">
        <v>2</v>
      </c>
      <c r="C37" s="79" t="s">
        <v>36</v>
      </c>
      <c r="D37" s="80" t="s">
        <v>85</v>
      </c>
      <c r="E37" s="81" t="s">
        <v>86</v>
      </c>
    </row>
    <row r="38" spans="1:5" ht="21.75" customHeight="1">
      <c r="A38" s="87" t="s">
        <v>95</v>
      </c>
      <c r="B38" s="83">
        <v>41500000</v>
      </c>
      <c r="C38" s="84"/>
      <c r="D38" s="91"/>
      <c r="E38" s="207" t="s">
        <v>19</v>
      </c>
    </row>
    <row r="39" spans="1:5" ht="21.75" customHeight="1">
      <c r="A39" s="89" t="s">
        <v>119</v>
      </c>
      <c r="B39" s="88" t="s">
        <v>249</v>
      </c>
      <c r="C39" s="90">
        <v>5000</v>
      </c>
      <c r="D39" s="91">
        <f>31000</f>
        <v>31000</v>
      </c>
      <c r="E39" s="108">
        <v>0</v>
      </c>
    </row>
    <row r="40" spans="1:5" s="228" customFormat="1" ht="21.75" customHeight="1">
      <c r="A40" s="89" t="s">
        <v>96</v>
      </c>
      <c r="B40" s="88" t="s">
        <v>187</v>
      </c>
      <c r="C40" s="90">
        <v>5000</v>
      </c>
      <c r="D40" s="91">
        <f>10000</f>
        <v>10000</v>
      </c>
      <c r="E40" s="108">
        <v>0</v>
      </c>
    </row>
    <row r="41" spans="1:5" ht="21.75" customHeight="1">
      <c r="A41" s="89" t="s">
        <v>97</v>
      </c>
      <c r="B41" s="88" t="s">
        <v>188</v>
      </c>
      <c r="C41" s="90">
        <v>500</v>
      </c>
      <c r="D41" s="108">
        <v>0</v>
      </c>
      <c r="E41" s="108">
        <v>0</v>
      </c>
    </row>
    <row r="42" spans="1:5" s="228" customFormat="1" ht="21.75" customHeight="1">
      <c r="A42" s="89" t="s">
        <v>258</v>
      </c>
      <c r="B42" s="88" t="s">
        <v>187</v>
      </c>
      <c r="C42" s="90"/>
      <c r="D42" s="91">
        <f>350+1400+2450</f>
        <v>4200</v>
      </c>
      <c r="E42" s="108">
        <v>0</v>
      </c>
    </row>
    <row r="43" spans="1:5" ht="21.75" customHeight="1">
      <c r="A43" s="96" t="s">
        <v>21</v>
      </c>
      <c r="B43" s="109"/>
      <c r="C43" s="98">
        <f>SUM(C39:C41)</f>
        <v>10500</v>
      </c>
      <c r="D43" s="99">
        <f>SUM(D39:D42)</f>
        <v>45200</v>
      </c>
      <c r="E43" s="100">
        <f>SUM(E39:E42)</f>
        <v>0</v>
      </c>
    </row>
    <row r="44" spans="1:5" ht="21.75" customHeight="1">
      <c r="A44" s="87" t="s">
        <v>131</v>
      </c>
      <c r="B44" s="83">
        <v>41600000</v>
      </c>
      <c r="C44" s="84"/>
      <c r="D44" s="91"/>
      <c r="E44" s="207" t="s">
        <v>19</v>
      </c>
    </row>
    <row r="45" spans="1:7" ht="21.75" customHeight="1">
      <c r="A45" s="89" t="s">
        <v>132</v>
      </c>
      <c r="B45" s="88" t="s">
        <v>250</v>
      </c>
      <c r="C45" s="90">
        <v>1000</v>
      </c>
      <c r="D45" s="91">
        <f>3240</f>
        <v>3240</v>
      </c>
      <c r="E45" s="108">
        <v>0</v>
      </c>
      <c r="G45" s="93">
        <f>SUM(C45-D45)</f>
        <v>-2240</v>
      </c>
    </row>
    <row r="46" spans="1:5" ht="21.75" customHeight="1">
      <c r="A46" s="96" t="s">
        <v>21</v>
      </c>
      <c r="B46" s="109"/>
      <c r="C46" s="98">
        <f>SUM(C45:C45)</f>
        <v>1000</v>
      </c>
      <c r="D46" s="99">
        <f>SUM(D45:D45)</f>
        <v>3240</v>
      </c>
      <c r="E46" s="100">
        <f>SUM(E45:E45)</f>
        <v>0</v>
      </c>
    </row>
    <row r="47" spans="1:5" ht="21.75" customHeight="1">
      <c r="A47" s="119" t="s">
        <v>98</v>
      </c>
      <c r="B47" s="116"/>
      <c r="C47" s="84"/>
      <c r="D47" s="100">
        <f>SUM(D12+D26+D30+D33+D43+D46)</f>
        <v>3187247.4000000004</v>
      </c>
      <c r="E47" s="100">
        <f>SUM(E12+E26+E30+E33+E43+E46)</f>
        <v>319127.61</v>
      </c>
    </row>
    <row r="48" spans="1:5" ht="21.75" customHeight="1">
      <c r="A48" s="120" t="s">
        <v>99</v>
      </c>
      <c r="B48" s="83">
        <v>42000000</v>
      </c>
      <c r="C48" s="90"/>
      <c r="D48" s="107"/>
      <c r="E48" s="89"/>
    </row>
    <row r="49" spans="1:5" ht="21.75" customHeight="1">
      <c r="A49" s="87" t="s">
        <v>113</v>
      </c>
      <c r="B49" s="83">
        <v>42100000</v>
      </c>
      <c r="C49" s="121"/>
      <c r="D49" s="122"/>
      <c r="E49" s="212"/>
    </row>
    <row r="50" spans="1:7" ht="21.75" customHeight="1">
      <c r="A50" s="112" t="s">
        <v>100</v>
      </c>
      <c r="B50" s="83">
        <v>42100001</v>
      </c>
      <c r="C50" s="123">
        <v>420000</v>
      </c>
      <c r="D50" s="122">
        <f>52204.17+23185.38+38750.12+83434.71+38388.23+51207.38+80663.01+40296.02+87494.69</f>
        <v>495623.71</v>
      </c>
      <c r="E50" s="213">
        <v>87494.69</v>
      </c>
      <c r="G50" s="102"/>
    </row>
    <row r="51" spans="1:7" ht="21.75" customHeight="1">
      <c r="A51" s="89" t="s">
        <v>138</v>
      </c>
      <c r="B51" s="83">
        <v>42100002</v>
      </c>
      <c r="C51" s="113">
        <v>7200000</v>
      </c>
      <c r="D51" s="108">
        <f>676220.03+593132.85+628724.8+1228618.04+665287.34+1304670.7+679137.58+750384.7+1355603.15</f>
        <v>7881779.1899999995</v>
      </c>
      <c r="E51" s="213">
        <v>1355603.15</v>
      </c>
      <c r="G51" s="102"/>
    </row>
    <row r="52" spans="1:7" ht="21.75" customHeight="1">
      <c r="A52" s="89" t="s">
        <v>211</v>
      </c>
      <c r="B52" s="83">
        <v>42100004</v>
      </c>
      <c r="C52" s="113">
        <v>1600000</v>
      </c>
      <c r="D52" s="92">
        <f>195149.36+62657.39+128914.09+165997.21+210623.71+87469.47+296496.76+180287.13+129720.28+141231.69+184697.2</f>
        <v>1783244.2899999996</v>
      </c>
      <c r="E52" s="213">
        <v>184697.2</v>
      </c>
      <c r="G52" s="102"/>
    </row>
    <row r="53" spans="1:7" ht="21.75" customHeight="1">
      <c r="A53" s="89" t="s">
        <v>101</v>
      </c>
      <c r="B53" s="83">
        <v>42100005</v>
      </c>
      <c r="C53" s="113">
        <v>49000</v>
      </c>
      <c r="D53" s="108">
        <f>17426.61+30800.52+14229.48</f>
        <v>62456.61</v>
      </c>
      <c r="E53" s="213">
        <v>0</v>
      </c>
      <c r="G53" s="102"/>
    </row>
    <row r="54" spans="1:7" ht="21.75" customHeight="1">
      <c r="A54" s="89" t="s">
        <v>102</v>
      </c>
      <c r="B54" s="83">
        <v>42100006</v>
      </c>
      <c r="C54" s="113">
        <v>800000</v>
      </c>
      <c r="D54" s="92">
        <f>73604.57+59790.89+69272.58+99032.2+65214.3+81049.56+176083.66+70790.68+81657.23+74648.54+88585.54</f>
        <v>939729.75</v>
      </c>
      <c r="E54" s="214">
        <v>88585.54</v>
      </c>
      <c r="G54" s="102"/>
    </row>
    <row r="55" spans="1:7" ht="21.75" customHeight="1">
      <c r="A55" s="89" t="s">
        <v>103</v>
      </c>
      <c r="B55" s="83">
        <v>42100007</v>
      </c>
      <c r="C55" s="113">
        <v>1500000</v>
      </c>
      <c r="D55" s="92">
        <f>205290.8+147424.34+161327.98+205703.23+161969.61+190851.37+414785.58+190681.52+214270.34+182001.29+190332.08</f>
        <v>2264638.14</v>
      </c>
      <c r="E55" s="214">
        <v>190332.08</v>
      </c>
      <c r="G55" s="102"/>
    </row>
    <row r="56" spans="1:7" ht="21.75" customHeight="1">
      <c r="A56" s="89" t="s">
        <v>133</v>
      </c>
      <c r="B56" s="83">
        <v>42100012</v>
      </c>
      <c r="C56" s="113">
        <v>37000</v>
      </c>
      <c r="D56" s="103">
        <f>22415.14+21589.57+21764.79+23640.73</f>
        <v>89410.23</v>
      </c>
      <c r="E56" s="215">
        <v>23640.73</v>
      </c>
      <c r="G56" s="102"/>
    </row>
    <row r="57" spans="1:7" ht="21.75" customHeight="1">
      <c r="A57" s="89" t="s">
        <v>139</v>
      </c>
      <c r="B57" s="83">
        <v>42100013</v>
      </c>
      <c r="C57" s="113">
        <v>24000</v>
      </c>
      <c r="D57" s="103">
        <f>6870.79+6543.18+7598.93+8186.91</f>
        <v>29199.81</v>
      </c>
      <c r="E57" s="215">
        <v>0</v>
      </c>
      <c r="G57" s="102"/>
    </row>
    <row r="58" spans="1:7" ht="21.75" customHeight="1">
      <c r="A58" s="124" t="s">
        <v>212</v>
      </c>
      <c r="B58" s="83">
        <v>42100015</v>
      </c>
      <c r="C58" s="90">
        <v>374000</v>
      </c>
      <c r="D58" s="103">
        <f>24095+150351+45755+23461+33028+31330+153772+297388+278122+66123+66588</f>
        <v>1170013</v>
      </c>
      <c r="E58" s="103">
        <v>66588</v>
      </c>
      <c r="G58" s="102"/>
    </row>
    <row r="59" spans="1:7" ht="21.75" customHeight="1">
      <c r="A59" s="89" t="s">
        <v>189</v>
      </c>
      <c r="B59" s="83">
        <v>42199999</v>
      </c>
      <c r="C59" s="125">
        <v>1000</v>
      </c>
      <c r="D59" s="216">
        <v>0</v>
      </c>
      <c r="E59" s="216">
        <v>0</v>
      </c>
      <c r="G59" s="102"/>
    </row>
    <row r="60" spans="1:7" ht="21.75" customHeight="1">
      <c r="A60" s="96" t="s">
        <v>21</v>
      </c>
      <c r="B60" s="109"/>
      <c r="C60" s="98">
        <f>SUM(C50:C59)</f>
        <v>12005000</v>
      </c>
      <c r="D60" s="79">
        <f>SUM(D50:D59)</f>
        <v>14716094.73</v>
      </c>
      <c r="E60" s="100">
        <f>SUM(E50:E59)</f>
        <v>1996941.39</v>
      </c>
      <c r="G60" s="126"/>
    </row>
    <row r="61" spans="1:5" ht="21.75" customHeight="1">
      <c r="A61" s="119" t="s">
        <v>104</v>
      </c>
      <c r="B61" s="116"/>
      <c r="C61" s="84"/>
      <c r="D61" s="100">
        <f>SUM(D47+D60)</f>
        <v>17903342.130000003</v>
      </c>
      <c r="E61" s="100">
        <f>SUM(E47+E60)</f>
        <v>2316069</v>
      </c>
    </row>
    <row r="62" spans="1:5" ht="21.75" customHeight="1">
      <c r="A62" s="120" t="s">
        <v>251</v>
      </c>
      <c r="B62" s="83">
        <v>43000000</v>
      </c>
      <c r="C62" s="90"/>
      <c r="D62" s="107"/>
      <c r="E62" s="208"/>
    </row>
    <row r="63" spans="1:5" ht="21.75" customHeight="1">
      <c r="A63" s="87" t="s">
        <v>122</v>
      </c>
      <c r="B63" s="83">
        <v>43100000</v>
      </c>
      <c r="C63" s="84">
        <v>15457110</v>
      </c>
      <c r="D63" s="107"/>
      <c r="E63" s="208"/>
    </row>
    <row r="64" spans="1:5" ht="21.75" customHeight="1">
      <c r="A64" s="89" t="s">
        <v>120</v>
      </c>
      <c r="B64" s="83">
        <v>43100000</v>
      </c>
      <c r="C64" s="84"/>
      <c r="D64" s="91"/>
      <c r="E64" s="204"/>
    </row>
    <row r="65" spans="1:5" ht="21.75" customHeight="1">
      <c r="A65" s="89" t="s">
        <v>134</v>
      </c>
      <c r="B65" s="83">
        <v>43100000</v>
      </c>
      <c r="C65" s="90"/>
      <c r="D65" s="92">
        <f>1279100+1279100+1279100+1279100</f>
        <v>5116400</v>
      </c>
      <c r="E65" s="92">
        <v>0</v>
      </c>
    </row>
    <row r="66" spans="1:5" ht="21.75" customHeight="1">
      <c r="A66" s="89" t="s">
        <v>135</v>
      </c>
      <c r="B66" s="83">
        <v>43100000</v>
      </c>
      <c r="C66" s="90"/>
      <c r="D66" s="92">
        <f>252000+252000+252000+252000</f>
        <v>1008000</v>
      </c>
      <c r="E66" s="92">
        <v>0</v>
      </c>
    </row>
    <row r="67" spans="1:7" ht="21.75" customHeight="1">
      <c r="A67" s="89" t="s">
        <v>264</v>
      </c>
      <c r="B67" s="83">
        <v>43100000</v>
      </c>
      <c r="C67" s="90"/>
      <c r="D67" s="92">
        <f>3000+3000+3000+3000</f>
        <v>12000</v>
      </c>
      <c r="E67" s="92">
        <v>0</v>
      </c>
      <c r="G67" s="126">
        <f>SUM(E67:E68)</f>
        <v>0</v>
      </c>
    </row>
    <row r="68" spans="1:7" ht="21.75" customHeight="1">
      <c r="A68" s="89" t="s">
        <v>259</v>
      </c>
      <c r="B68" s="83">
        <v>43100000</v>
      </c>
      <c r="C68" s="90"/>
      <c r="D68" s="92">
        <f>8880+177600+186480+186480+186480</f>
        <v>745920</v>
      </c>
      <c r="E68" s="92">
        <v>0</v>
      </c>
      <c r="G68" s="126"/>
    </row>
    <row r="69" spans="1:7" ht="21.75" customHeight="1">
      <c r="A69" s="89" t="s">
        <v>260</v>
      </c>
      <c r="B69" s="83">
        <v>43100000</v>
      </c>
      <c r="C69" s="90"/>
      <c r="D69" s="92">
        <f>68400+3420+246390+282750+304650+300840</f>
        <v>1206450</v>
      </c>
      <c r="E69" s="92">
        <v>0</v>
      </c>
      <c r="G69" s="126">
        <f>SUM(D68:D69)</f>
        <v>1952370</v>
      </c>
    </row>
    <row r="70" spans="1:5" ht="21.75" customHeight="1">
      <c r="A70" s="89" t="s">
        <v>261</v>
      </c>
      <c r="B70" s="83">
        <v>43100000</v>
      </c>
      <c r="C70" s="90"/>
      <c r="D70" s="92">
        <v>321300</v>
      </c>
      <c r="E70" s="92">
        <v>0</v>
      </c>
    </row>
    <row r="71" spans="1:7" ht="21.75" customHeight="1">
      <c r="A71" s="143" t="s">
        <v>262</v>
      </c>
      <c r="B71" s="144">
        <v>43100000</v>
      </c>
      <c r="C71" s="145"/>
      <c r="D71" s="146">
        <f>554700+535800+547800+226800+306000</f>
        <v>2171100</v>
      </c>
      <c r="E71" s="218">
        <v>0</v>
      </c>
      <c r="G71" s="75" t="s">
        <v>270</v>
      </c>
    </row>
    <row r="72" spans="1:6" ht="21.75" customHeight="1">
      <c r="A72" s="127"/>
      <c r="B72" s="128"/>
      <c r="C72" s="107"/>
      <c r="D72" s="129"/>
      <c r="E72" s="211" t="s">
        <v>222</v>
      </c>
      <c r="F72" s="130"/>
    </row>
    <row r="73" spans="1:5" ht="21.75" customHeight="1">
      <c r="A73" s="81" t="s">
        <v>23</v>
      </c>
      <c r="B73" s="78" t="s">
        <v>2</v>
      </c>
      <c r="C73" s="79" t="s">
        <v>36</v>
      </c>
      <c r="D73" s="80" t="s">
        <v>85</v>
      </c>
      <c r="E73" s="81" t="s">
        <v>86</v>
      </c>
    </row>
    <row r="74" spans="1:5" ht="21.75" customHeight="1">
      <c r="A74" s="87" t="s">
        <v>122</v>
      </c>
      <c r="B74" s="116"/>
      <c r="C74" s="113"/>
      <c r="D74" s="92"/>
      <c r="E74" s="214"/>
    </row>
    <row r="75" spans="1:7" ht="21.75" customHeight="1">
      <c r="A75" s="89" t="s">
        <v>263</v>
      </c>
      <c r="B75" s="83">
        <v>43100000</v>
      </c>
      <c r="C75" s="113"/>
      <c r="D75" s="92">
        <f>238567+238566+244316+237133</f>
        <v>958582</v>
      </c>
      <c r="E75" s="214">
        <v>0</v>
      </c>
      <c r="F75" s="131"/>
      <c r="G75" s="75" t="s">
        <v>271</v>
      </c>
    </row>
    <row r="76" spans="1:6" ht="21.75" customHeight="1">
      <c r="A76" s="225" t="s">
        <v>274</v>
      </c>
      <c r="B76" s="83">
        <v>43100000</v>
      </c>
      <c r="C76" s="113"/>
      <c r="D76" s="92">
        <f>332254-86100-53750</f>
        <v>192404</v>
      </c>
      <c r="E76" s="214">
        <v>0</v>
      </c>
      <c r="F76" s="224"/>
    </row>
    <row r="77" spans="1:5" ht="21.75" customHeight="1">
      <c r="A77" s="89" t="s">
        <v>272</v>
      </c>
      <c r="B77" s="83">
        <v>43100000</v>
      </c>
      <c r="C77" s="113"/>
      <c r="D77" s="92"/>
      <c r="E77" s="214"/>
    </row>
    <row r="78" spans="1:5" ht="21.75" customHeight="1">
      <c r="A78" s="109" t="s">
        <v>273</v>
      </c>
      <c r="B78" s="83">
        <v>43100002</v>
      </c>
      <c r="C78" s="84"/>
      <c r="D78" s="90">
        <f>1415225+1415226</f>
        <v>2830451</v>
      </c>
      <c r="E78" s="214">
        <v>0</v>
      </c>
    </row>
    <row r="79" spans="1:5" ht="21.75" customHeight="1" thickBot="1">
      <c r="A79" s="119" t="s">
        <v>123</v>
      </c>
      <c r="B79" s="116"/>
      <c r="C79" s="98">
        <f>SUM(C63)</f>
        <v>15457110</v>
      </c>
      <c r="D79" s="132">
        <f>SUM(D64:D78)</f>
        <v>14562607</v>
      </c>
      <c r="E79" s="217">
        <f>SUM(E65:E78)</f>
        <v>0</v>
      </c>
    </row>
    <row r="80" spans="1:5" ht="21.75" customHeight="1">
      <c r="A80" s="133" t="s">
        <v>105</v>
      </c>
      <c r="B80" s="116"/>
      <c r="C80" s="84"/>
      <c r="D80" s="134">
        <f>SUM(D61+D79)</f>
        <v>32465949.130000003</v>
      </c>
      <c r="E80" s="134">
        <f>SUM(E61+E79-139850)</f>
        <v>2176219</v>
      </c>
    </row>
    <row r="81" spans="1:5" ht="21.75" customHeight="1">
      <c r="A81" s="87" t="s">
        <v>150</v>
      </c>
      <c r="B81" s="83">
        <v>44100000</v>
      </c>
      <c r="C81" s="84"/>
      <c r="D81" s="91"/>
      <c r="E81" s="204"/>
    </row>
    <row r="82" spans="1:5" ht="21.75" customHeight="1">
      <c r="A82" s="135" t="s">
        <v>276</v>
      </c>
      <c r="B82" s="83">
        <v>44100001</v>
      </c>
      <c r="C82" s="84"/>
      <c r="D82" s="91">
        <f>695500+2086500</f>
        <v>2782000</v>
      </c>
      <c r="E82" s="108">
        <v>2086500</v>
      </c>
    </row>
    <row r="83" spans="1:5" ht="21.75" customHeight="1">
      <c r="A83" s="135" t="s">
        <v>227</v>
      </c>
      <c r="B83" s="83">
        <v>44100001</v>
      </c>
      <c r="C83" s="84"/>
      <c r="D83" s="91"/>
      <c r="E83" s="204"/>
    </row>
    <row r="84" spans="1:5" ht="21.75" customHeight="1">
      <c r="A84" s="96" t="s">
        <v>21</v>
      </c>
      <c r="B84" s="109"/>
      <c r="C84" s="100">
        <f>SUM(C83:C83)</f>
        <v>0</v>
      </c>
      <c r="D84" s="100">
        <f>SUM(D82:D83)</f>
        <v>2782000</v>
      </c>
      <c r="E84" s="100">
        <f>SUM(E82:E83)</f>
        <v>2086500</v>
      </c>
    </row>
    <row r="85" spans="1:7" ht="21.75" customHeight="1">
      <c r="A85" s="136" t="s">
        <v>106</v>
      </c>
      <c r="B85" s="137"/>
      <c r="C85" s="98">
        <f>SUM(C12+C26+C30+C33+C43+C46+C60+C79)</f>
        <v>31564310</v>
      </c>
      <c r="D85" s="100">
        <f>SUM(D80+D84)</f>
        <v>35247949.13</v>
      </c>
      <c r="E85" s="100">
        <f>SUM(E80+E84)</f>
        <v>4262719</v>
      </c>
      <c r="G85" s="126"/>
    </row>
    <row r="86" spans="1:5" ht="17.25" customHeight="1">
      <c r="A86" s="138"/>
      <c r="B86" s="139"/>
      <c r="C86" s="117"/>
      <c r="D86" s="118"/>
      <c r="E86" s="206"/>
    </row>
    <row r="87" spans="1:5" ht="18" customHeight="1">
      <c r="A87" s="138"/>
      <c r="B87" s="139"/>
      <c r="C87" s="117"/>
      <c r="D87" s="118"/>
      <c r="E87" s="206"/>
    </row>
    <row r="88" spans="4:5" ht="19.5" customHeight="1">
      <c r="D88" s="142"/>
      <c r="E88" s="209"/>
    </row>
  </sheetData>
  <sheetProtection/>
  <mergeCells count="4">
    <mergeCell ref="A1:E1"/>
    <mergeCell ref="A2:E2"/>
    <mergeCell ref="A3:E3"/>
    <mergeCell ref="A4:E4"/>
  </mergeCells>
  <printOptions/>
  <pageMargins left="0.27" right="0.13" top="0.45" bottom="0.21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KKD Windows 7 V.3</cp:lastModifiedBy>
  <cp:lastPrinted>2017-10-04T04:35:22Z</cp:lastPrinted>
  <dcterms:created xsi:type="dcterms:W3CDTF">2013-06-07T04:08:05Z</dcterms:created>
  <dcterms:modified xsi:type="dcterms:W3CDTF">2017-10-31T02:42:53Z</dcterms:modified>
  <cp:category/>
  <cp:version/>
  <cp:contentType/>
  <cp:contentStatus/>
</cp:coreProperties>
</file>