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040" tabRatio="598"/>
  </bookViews>
  <sheets>
    <sheet name="รายงานรับ-จ่ายเงิน(ตค)" sheetId="34" r:id="rId1"/>
    <sheet name="เงินรับฝาก" sheetId="2" r:id="rId2"/>
    <sheet name="งบทดลอง" sheetId="28" r:id="rId3"/>
    <sheet name="หมายเหตุ 1 รายงานรับ-จ่ายเงินสด" sheetId="4" r:id="rId4"/>
  </sheets>
  <calcPr calcId="125725"/>
</workbook>
</file>

<file path=xl/calcChain.xml><?xml version="1.0" encoding="utf-8"?>
<calcChain xmlns="http://schemas.openxmlformats.org/spreadsheetml/2006/main">
  <c r="E48" i="2"/>
  <c r="D31" i="28"/>
  <c r="D30"/>
  <c r="D29"/>
  <c r="D27"/>
  <c r="C22"/>
  <c r="C21"/>
  <c r="C20"/>
  <c r="C19"/>
  <c r="C18"/>
  <c r="C17"/>
  <c r="E17"/>
  <c r="C16"/>
  <c r="C15"/>
  <c r="C14"/>
  <c r="C9"/>
  <c r="C7"/>
  <c r="G22" i="34"/>
  <c r="G30"/>
  <c r="G29"/>
  <c r="G28"/>
  <c r="G27"/>
  <c r="G26"/>
  <c r="G25"/>
  <c r="G24"/>
  <c r="G23"/>
  <c r="G21"/>
  <c r="G66"/>
  <c r="G71"/>
  <c r="G70"/>
  <c r="G69"/>
  <c r="G68"/>
  <c r="G67"/>
  <c r="G65"/>
  <c r="G46"/>
  <c r="G62"/>
  <c r="G61"/>
  <c r="G60"/>
  <c r="G59"/>
  <c r="G58"/>
  <c r="G57"/>
  <c r="G56"/>
  <c r="G55"/>
  <c r="G54"/>
  <c r="G53"/>
  <c r="G52"/>
  <c r="G51"/>
  <c r="G50"/>
  <c r="G49"/>
  <c r="G48"/>
  <c r="G47"/>
  <c r="G45"/>
  <c r="G12"/>
  <c r="G19"/>
  <c r="G18"/>
  <c r="G17"/>
  <c r="G16"/>
  <c r="G15"/>
  <c r="G14"/>
  <c r="G13"/>
  <c r="G11"/>
  <c r="D75" i="2"/>
  <c r="C75"/>
  <c r="B75"/>
  <c r="E72"/>
  <c r="E71"/>
  <c r="E70"/>
  <c r="E69"/>
  <c r="H12"/>
  <c r="A58" i="34"/>
  <c r="A50"/>
  <c r="A56"/>
  <c r="A55"/>
  <c r="D79" i="4"/>
  <c r="D68"/>
  <c r="D66"/>
  <c r="D65"/>
  <c r="D58"/>
  <c r="D56"/>
  <c r="D55"/>
  <c r="D52"/>
  <c r="D51"/>
  <c r="D50"/>
  <c r="D32"/>
  <c r="D33"/>
  <c r="D23"/>
  <c r="D22"/>
  <c r="G22"/>
  <c r="D20"/>
  <c r="G20"/>
  <c r="D19"/>
  <c r="D18"/>
  <c r="G18"/>
  <c r="D55" i="34"/>
  <c r="C55"/>
  <c r="A57"/>
  <c r="D71" i="4"/>
  <c r="D70"/>
  <c r="D76"/>
  <c r="D75"/>
  <c r="D26" i="28"/>
  <c r="E26" i="4"/>
  <c r="E81"/>
  <c r="E60"/>
  <c r="G64" i="34"/>
  <c r="C10" i="28"/>
  <c r="D57" i="4"/>
  <c r="D21"/>
  <c r="G21"/>
  <c r="E14" i="2"/>
  <c r="E40"/>
  <c r="E53"/>
  <c r="D71" i="34"/>
  <c r="C26" i="4"/>
  <c r="C43"/>
  <c r="D67" i="34"/>
  <c r="D68"/>
  <c r="B38" i="2"/>
  <c r="E38"/>
  <c r="D38"/>
  <c r="D39"/>
  <c r="E39"/>
  <c r="E50"/>
  <c r="E49"/>
  <c r="D53"/>
  <c r="B53"/>
  <c r="G16" i="4"/>
  <c r="G15"/>
  <c r="D66" i="34"/>
  <c r="D65"/>
  <c r="D64"/>
  <c r="D69"/>
  <c r="D46"/>
  <c r="C46"/>
  <c r="D45"/>
  <c r="C45"/>
  <c r="D21"/>
  <c r="D28"/>
  <c r="D24"/>
  <c r="D23"/>
  <c r="H22"/>
  <c r="D22"/>
  <c r="D18"/>
  <c r="C18"/>
  <c r="H17"/>
  <c r="H14"/>
  <c r="D14"/>
  <c r="U14"/>
  <c r="H12"/>
  <c r="D12"/>
  <c r="C12"/>
  <c r="D50"/>
  <c r="C50"/>
  <c r="D49"/>
  <c r="C49"/>
  <c r="D48"/>
  <c r="T49"/>
  <c r="D47"/>
  <c r="C47"/>
  <c r="D61"/>
  <c r="C61"/>
  <c r="D59"/>
  <c r="C59"/>
  <c r="D58"/>
  <c r="C58"/>
  <c r="D84" i="4"/>
  <c r="D86"/>
  <c r="C8" i="28"/>
  <c r="C12"/>
  <c r="B18" i="2"/>
  <c r="E12"/>
  <c r="H82" i="34"/>
  <c r="G24" i="4"/>
  <c r="G10"/>
  <c r="D18" i="2"/>
  <c r="D30" i="4"/>
  <c r="G28"/>
  <c r="E30"/>
  <c r="E17" i="2"/>
  <c r="D25" i="34"/>
  <c r="B19"/>
  <c r="B20"/>
  <c r="E86" i="4"/>
  <c r="L78" i="34"/>
  <c r="M73"/>
  <c r="M72"/>
  <c r="L72"/>
  <c r="K72"/>
  <c r="J72"/>
  <c r="I72"/>
  <c r="D70"/>
  <c r="D62"/>
  <c r="C62"/>
  <c r="B62"/>
  <c r="B63"/>
  <c r="D60"/>
  <c r="C60"/>
  <c r="D57"/>
  <c r="C57"/>
  <c r="D56"/>
  <c r="C56"/>
  <c r="D54"/>
  <c r="C54"/>
  <c r="D52"/>
  <c r="C52"/>
  <c r="D51"/>
  <c r="C51"/>
  <c r="P32"/>
  <c r="L32"/>
  <c r="K32"/>
  <c r="D27"/>
  <c r="D26"/>
  <c r="A20"/>
  <c r="C19"/>
  <c r="D16"/>
  <c r="C16"/>
  <c r="D15"/>
  <c r="C15"/>
  <c r="D13"/>
  <c r="C13"/>
  <c r="D11"/>
  <c r="E13" i="2"/>
  <c r="E10"/>
  <c r="E8"/>
  <c r="C86" i="4"/>
  <c r="E33"/>
  <c r="G11"/>
  <c r="C12"/>
  <c r="E12"/>
  <c r="G25"/>
  <c r="G29"/>
  <c r="C30"/>
  <c r="C33"/>
  <c r="C87"/>
  <c r="E43"/>
  <c r="G45"/>
  <c r="C46"/>
  <c r="E46"/>
  <c r="C60"/>
  <c r="C81"/>
  <c r="F9" i="28"/>
  <c r="F19"/>
  <c r="J19"/>
  <c r="F20"/>
  <c r="F24"/>
  <c r="F30"/>
  <c r="E7" i="2"/>
  <c r="E9"/>
  <c r="G9"/>
  <c r="E16"/>
  <c r="C18"/>
  <c r="D46" i="4"/>
  <c r="E6" i="2"/>
  <c r="D43" i="4"/>
  <c r="O77" i="34"/>
  <c r="D12" i="4"/>
  <c r="G9"/>
  <c r="D53" i="34"/>
  <c r="C53"/>
  <c r="F21" i="28"/>
  <c r="F22"/>
  <c r="D17" i="34"/>
  <c r="B64"/>
  <c r="D31"/>
  <c r="C11"/>
  <c r="B43" i="2"/>
  <c r="E11"/>
  <c r="E47"/>
  <c r="C53"/>
  <c r="D43"/>
  <c r="E37"/>
  <c r="C43"/>
  <c r="E47" i="4"/>
  <c r="E61"/>
  <c r="E82"/>
  <c r="E87"/>
  <c r="D81"/>
  <c r="D60"/>
  <c r="G32"/>
  <c r="D26"/>
  <c r="D47"/>
  <c r="D61"/>
  <c r="D82"/>
  <c r="D87"/>
  <c r="D32" i="28"/>
  <c r="C32"/>
  <c r="G31" i="34"/>
  <c r="G72"/>
  <c r="D72"/>
  <c r="G63"/>
  <c r="U52"/>
  <c r="D63"/>
  <c r="C48"/>
  <c r="C63"/>
  <c r="G20"/>
  <c r="U18"/>
  <c r="D20"/>
  <c r="D32"/>
  <c r="C17"/>
  <c r="C14"/>
  <c r="E43" i="2"/>
  <c r="E75"/>
  <c r="E18"/>
  <c r="A63" i="34"/>
  <c r="D39" i="28"/>
  <c r="G73" i="34"/>
  <c r="O74"/>
  <c r="D73"/>
  <c r="R73"/>
  <c r="I74"/>
  <c r="D77"/>
  <c r="U21"/>
  <c r="G32"/>
  <c r="G77"/>
  <c r="D74"/>
  <c r="C20"/>
  <c r="C64"/>
  <c r="U32"/>
  <c r="U41"/>
  <c r="U43"/>
  <c r="M32"/>
  <c r="H78"/>
  <c r="I77"/>
  <c r="I79"/>
  <c r="O32"/>
  <c r="I32"/>
  <c r="G74"/>
</calcChain>
</file>

<file path=xl/sharedStrings.xml><?xml version="1.0" encoding="utf-8"?>
<sst xmlns="http://schemas.openxmlformats.org/spreadsheetml/2006/main" count="463" uniqueCount="298">
  <si>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</si>
  <si>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</si>
  <si>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</si>
  <si>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</si>
  <si>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</si>
  <si>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</si>
  <si>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</si>
  <si>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</si>
  <si>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</si>
  <si>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</si>
  <si>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</si>
  <si>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</si>
  <si>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</si>
  <si>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</si>
  <si>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</si>
  <si>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</si>
  <si>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</si>
  <si>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</si>
  <si>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</si>
  <si>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</si>
  <si>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</si>
  <si>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รับเดือนนี้</t>
  </si>
  <si>
    <t>จ่ายเดือนนี้</t>
  </si>
  <si>
    <t>ยอดยกไปเดือนหน้า</t>
  </si>
  <si>
    <t>เงินค่าใช้จ่าย ภบท. 5%</t>
  </si>
  <si>
    <t>เงินรับฝาก - ส่วนลด 6 %</t>
  </si>
  <si>
    <t>ภาษี หัก  ณ  ที่จ่าย</t>
  </si>
  <si>
    <t>เงินรับฝาก - โครงการเศรษฐกิจชุมชน</t>
  </si>
  <si>
    <t>รวมสุทธิ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</si>
  <si>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</si>
  <si>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</si>
  <si>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</si>
  <si>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</si>
  <si>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</si>
  <si>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</si>
  <si>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</si>
  <si>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</si>
  <si>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</si>
  <si>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</si>
  <si>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</si>
  <si>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</si>
  <si>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</si>
  <si>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</si>
  <si>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</si>
  <si>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</si>
  <si>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</si>
  <si>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</si>
  <si>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</si>
  <si>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</si>
  <si>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</si>
  <si>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</si>
  <si>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</si>
  <si>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</si>
  <si>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</si>
  <si>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</si>
  <si>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</si>
  <si>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</si>
  <si>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</si>
  <si>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</si>
  <si>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</si>
  <si>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</si>
  <si>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</si>
  <si>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</si>
  <si>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</si>
  <si>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</si>
  <si>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</si>
  <si>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</si>
  <si>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</si>
  <si>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</si>
  <si>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</si>
  <si>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</si>
  <si>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บัญชีเงินสะสม (จ่ายขาดสะสม)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</si>
  <si>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</si>
  <si>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</si>
  <si>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</si>
  <si>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</si>
  <si>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</si>
  <si>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</si>
  <si>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</si>
  <si>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</si>
  <si>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</si>
  <si>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</si>
  <si>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</si>
  <si>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</si>
  <si>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</si>
  <si>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</si>
  <si>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</si>
  <si>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</si>
  <si>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</si>
  <si>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</si>
  <si>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</si>
  <si>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</si>
  <si>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</si>
  <si>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รายได้ที่รัฐบาลจัดสรรให้องค์กรปกครองส่วนท้องถิ่น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</si>
  <si>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</si>
  <si>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</si>
  <si>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</si>
  <si>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</si>
  <si>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</si>
  <si>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</si>
  <si>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</si>
  <si>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</si>
  <si>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</si>
  <si>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</si>
  <si>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เงินรับฝาก - ประกันสังคม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</si>
  <si>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</si>
  <si>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</si>
  <si>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</si>
  <si>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</si>
  <si>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</si>
  <si>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</si>
  <si>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</si>
  <si>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</si>
  <si>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</si>
  <si>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</si>
  <si>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</si>
  <si>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</si>
  <si>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</si>
  <si>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</si>
  <si>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</si>
  <si>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</si>
  <si>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</si>
  <si>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</si>
  <si>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</si>
  <si>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</si>
  <si>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</si>
  <si>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รายได้จากรัฐบาลค้างรับ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</si>
  <si>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</si>
  <si>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</si>
  <si>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</si>
  <si>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</si>
  <si>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</si>
  <si>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</si>
  <si>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</si>
  <si>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</si>
  <si>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</si>
  <si>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</si>
  <si>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</si>
  <si>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</si>
  <si>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</si>
  <si>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</si>
  <si>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</si>
  <si>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</si>
  <si>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</si>
  <si>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</si>
  <si>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</si>
  <si>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</si>
  <si>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</si>
  <si>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</si>
  <si>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</si>
  <si>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</si>
  <si>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</si>
  <si>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</si>
  <si>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</si>
  <si>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</si>
  <si>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</si>
  <si>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</si>
  <si>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</si>
  <si>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</si>
  <si>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</si>
  <si>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</si>
  <si>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</si>
  <si>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</si>
  <si>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</si>
  <si>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</si>
  <si>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</si>
  <si>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</si>
  <si>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เงินรับฝาก - หลักประกันซอง</t>
  </si>
  <si>
    <t>เงินรับฝาก- สหกรณ์ออมทรัพย์</t>
  </si>
  <si>
    <t xml:space="preserve">             บัญชีเงินทุนสำรองเงินสะสม 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</si>
  <si>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</si>
  <si>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</si>
  <si>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</si>
  <si>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</si>
  <si>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</si>
  <si>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t>เงินรับฝาก - สปสช.</t>
  </si>
  <si>
    <t>เงินรับฝาก - เงินหลักประกันสัญญา</t>
  </si>
  <si>
    <r>
      <t xml:space="preserve">เงินรับฝาก </t>
    </r>
    <r>
      <rPr>
        <b/>
        <u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</si>
  <si>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</si>
  <si>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</si>
  <si>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</si>
  <si>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56100000</t>
  </si>
  <si>
    <r>
      <t>ร</t>
    </r>
    <r>
      <rPr>
        <b/>
        <u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</si>
  <si>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</si>
  <si>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</si>
  <si>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</si>
  <si>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</si>
  <si>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</si>
  <si>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</si>
  <si>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</si>
  <si>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</si>
  <si>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</si>
  <si>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</si>
  <si>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</si>
  <si>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</si>
  <si>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</si>
  <si>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</si>
  <si>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</si>
  <si>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</si>
  <si>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</si>
  <si>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</si>
  <si>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</si>
  <si>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</si>
  <si>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</si>
  <si>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</si>
  <si>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</si>
  <si>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</si>
  <si>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</si>
  <si>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 xml:space="preserve">เทศบาลตำบลปากน้ำฉวาง </t>
  </si>
  <si>
    <t>รายละเอียด ประกอบงบทดลองและรายงานรับ - จ่ายเงิน</t>
  </si>
  <si>
    <t>เงินรับฝาก (หมายเหตุ 2)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</si>
  <si>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</si>
  <si>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</si>
  <si>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</si>
  <si>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r>
      <t xml:space="preserve">              บัญชีเงินรับฝาก  </t>
    </r>
    <r>
      <rPr>
        <b/>
        <sz val="11"/>
        <rFont val="TH SarabunPSK"/>
        <family val="2"/>
      </rPr>
      <t>(หมายเหตุ 2)</t>
    </r>
  </si>
  <si>
    <t>เงินรับฝาก- (เงินเดือนตกเบิก ศพด.)</t>
  </si>
  <si>
    <t xml:space="preserve">              ลูกหนี้เงิน-สะสม</t>
  </si>
  <si>
    <t>รับคืนประกันสังคม</t>
  </si>
  <si>
    <t>ถอนคืนเงินเดือนครู</t>
  </si>
  <si>
    <t>เงินรับฝาก - รอคืนจังหวัด (ค่าปรับผิดสัญญา)</t>
  </si>
  <si>
    <t>รายจ่ายค้างจ่าย (หมายเหตุ 3)</t>
  </si>
  <si>
    <t>งบประมาณ</t>
  </si>
  <si>
    <t>ใช้ไปเดือนนี้</t>
  </si>
  <si>
    <t>ใช้ไปทั้งหมด</t>
  </si>
  <si>
    <t>คงเหลือ</t>
  </si>
  <si>
    <t>ตกเป็นเงินสะสม61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</si>
  <si>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</si>
  <si>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</si>
  <si>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</si>
  <si>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</si>
  <si>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</si>
  <si>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</si>
  <si>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(เบี้ยยังชีพคนชรา)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</si>
  <si>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</si>
  <si>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</si>
  <si>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</si>
  <si>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</si>
  <si>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</si>
  <si>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</si>
  <si>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</si>
  <si>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</si>
  <si>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</si>
  <si>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</si>
  <si>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</si>
  <si>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t>ลูกหนี้รายได้อื่น ๆ-ค่าน้ำประปา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</si>
  <si>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</si>
  <si>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</si>
  <si>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</si>
  <si>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</si>
  <si>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</si>
  <si>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</si>
  <si>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</si>
  <si>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</si>
  <si>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</si>
  <si>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</si>
  <si>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</si>
  <si>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</si>
  <si>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</si>
  <si>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</si>
  <si>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รายจ่ายค้างจ่าย-เงินงบประมาณ ประจำปี 60 (หมายเหตุ 3)</t>
  </si>
  <si>
    <t>รายจ่ายค้างจ่าย- เงินอุดหนุนเฉพาะกิจ ประจำปี 60 (หมายเหตุ 3)</t>
  </si>
  <si>
    <t xml:space="preserve">  - โครงการก่อสร้างระบบประปาหมู่บ้านแบบหอถังฯ ม.7</t>
  </si>
  <si>
    <t xml:space="preserve">  - โครงการก่อสร้างระบบประปาหมู่บ้านแบบบาดาลฯ ม.7</t>
  </si>
  <si>
    <t xml:space="preserve">  - โครงการขยายประปาหมู่บ้าน ม.8</t>
  </si>
  <si>
    <t>หมวดรายจ่าย</t>
  </si>
  <si>
    <t>หมวดค่าที่ดินและสิ่งก่อสร้าง</t>
  </si>
  <si>
    <t>บัญชีเงินรับฝาก  (หมายเหตุ 2)</t>
  </si>
  <si>
    <r>
      <t xml:space="preserve">เงินรับฝาก </t>
    </r>
    <r>
      <rPr>
        <u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</si>
  <si>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</si>
  <si>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</si>
  <si>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</si>
  <si>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</si>
  <si>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</si>
  <si>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</si>
  <si>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</si>
  <si>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4) เงินอุดหนุน - ผู้ป่วยเอดส์ (ตค.-ธค.60)</t>
  </si>
  <si>
    <t>6) เงินอุดหนุน-ค่าจัดการเรียนการสอน (ตค.-ธค.60)</t>
  </si>
  <si>
    <t xml:space="preserve">เงินอุดหนุนเฉพาะกิจ - ค่าที่ดินและสิ่งก่อสร้าง </t>
  </si>
  <si>
    <t>7) เงินอุดหนุน-ศูนย์พัฒนาเด็กเล็ก (ค่าอาหารกลางวัน ปฐมวัย ตค.-ธค.60)</t>
  </si>
  <si>
    <t>8) เงินอุดหนุน-ศูนย์พัฒนาเด็กเล็ก (ค่าอาหารกลางวัน ปฐมศึกษา ตค.-ธค.60)</t>
  </si>
  <si>
    <t>9) เงินอุดหนุน-ศูนย์พัฒนาเด็กเล็ก (ค่าอาหารเสริมนม ปฐมวัย ตค.-ธค.60)</t>
  </si>
  <si>
    <t>10) เงินอุดหนุน-ศูนย์พัฒนาเด็กเล็ก (ค่าอาหารเสริมนม ปฐมศึกษา ตค.-ธค.60)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</si>
  <si>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</si>
  <si>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</si>
  <si>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13) เงินอุดหนุนทั่วไป สำหรับดำเนินการตามอำนาจหน้าที่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</si>
  <si>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</si>
  <si>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</si>
  <si>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</si>
  <si>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ณ วันที่ 31 ธันวาคม 2560</t>
  </si>
  <si>
    <t>2) เงินอุดหนุน -  เบี้ยยังชีพผู้สูงอายุ (มค.-มีค.61)</t>
  </si>
  <si>
    <t>3) เงินอุดหนุน - เบี้ยยังชีพคนพิการ (มค.-มีค.61)</t>
  </si>
  <si>
    <t>5) เงินอุดหนุน-ศูนย์พัฒนาเด็กเล็ก (เงินเดือน ค่าตอบแทน มค.-มีค.61)</t>
  </si>
  <si>
    <t>เงินรับฝาก- รอคืนจังหวัด (วัสดุการศึกษา)</t>
  </si>
  <si>
    <t xml:space="preserve">  - โครงการก่อสร้างระบบประปาหมู่บ้าน ม. 8 ต. ฉวาง</t>
  </si>
  <si>
    <t xml:space="preserve">  - โครงการขุดเจาะบ่อบาดาลบริเวณบ่อขยะ ม. 8 ต. ฉวาง</t>
  </si>
  <si>
    <t xml:space="preserve">เงินทุนสำรองเงินสะสม ก่อหนี้ผูกพันประจำปีงบประมาณ พ.ศ.2560 </t>
  </si>
  <si>
    <t>ปีงบประมาณ  2561  ประจำเดือนธันวาคม พ.ศ. 2560</t>
  </si>
  <si>
    <t xml:space="preserve">  ณ วันที่ 31 ธันวาคม 2560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</si>
</sst>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_-;_-@_-"/>
  </numFmts>
  <fonts count="27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u/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/>
      <sz val="16"/>
      <name val="TH SarabunPSK"/>
      <family val="2"/>
    </font>
    <font>
      <b/>
      <sz val="11"/>
      <name val="TH SarabunPSK"/>
      <family val="2"/>
    </font>
    <font>
      <b/>
      <u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/>
      <sz val="12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187" fontId="3" fillId="0" borderId="0" xfId="1" applyNumberFormat="1" applyFont="1"/>
    <xf numFmtId="187" fontId="6" fillId="2" borderId="8" xfId="1" applyNumberFormat="1" applyFont="1" applyFill="1" applyBorder="1" applyAlignment="1">
      <alignment horizontal="center"/>
    </xf>
    <xf numFmtId="187" fontId="3" fillId="0" borderId="9" xfId="1" applyNumberFormat="1" applyFont="1" applyBorder="1"/>
    <xf numFmtId="187" fontId="3" fillId="0" borderId="9" xfId="1" applyNumberFormat="1" applyFont="1" applyBorder="1" applyAlignment="1">
      <alignment horizontal="right"/>
    </xf>
    <xf numFmtId="187" fontId="3" fillId="0" borderId="10" xfId="1" applyNumberFormat="1" applyFont="1" applyBorder="1" applyAlignment="1">
      <alignment horizontal="right"/>
    </xf>
    <xf numFmtId="187" fontId="3" fillId="0" borderId="11" xfId="1" applyNumberFormat="1" applyFont="1" applyBorder="1"/>
    <xf numFmtId="187" fontId="6" fillId="0" borderId="12" xfId="1" applyNumberFormat="1" applyFont="1" applyBorder="1"/>
    <xf numFmtId="187" fontId="6" fillId="0" borderId="0" xfId="1" applyNumberFormat="1" applyFont="1" applyBorder="1"/>
    <xf numFmtId="0" fontId="9" fillId="0" borderId="0" xfId="0" applyFont="1"/>
    <xf numFmtId="0" fontId="7" fillId="0" borderId="0" xfId="0" applyFont="1"/>
    <xf numFmtId="187" fontId="10" fillId="2" borderId="6" xfId="1" applyNumberFormat="1" applyFont="1" applyFill="1" applyBorder="1" applyAlignment="1">
      <alignment horizontal="center"/>
    </xf>
    <xf numFmtId="0" fontId="11" fillId="2" borderId="13" xfId="0" applyFont="1" applyFill="1" applyBorder="1"/>
    <xf numFmtId="187" fontId="10" fillId="2" borderId="9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87" fontId="10" fillId="2" borderId="7" xfId="1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87" fontId="11" fillId="0" borderId="13" xfId="1" applyNumberFormat="1" applyFont="1" applyBorder="1"/>
    <xf numFmtId="187" fontId="11" fillId="0" borderId="9" xfId="1" applyNumberFormat="1" applyFont="1" applyBorder="1"/>
    <xf numFmtId="187" fontId="11" fillId="0" borderId="9" xfId="1" applyNumberFormat="1" applyFont="1" applyBorder="1" applyAlignment="1">
      <alignment horizontal="right"/>
    </xf>
    <xf numFmtId="187" fontId="7" fillId="0" borderId="0" xfId="0" applyNumberFormat="1" applyFont="1"/>
    <xf numFmtId="43" fontId="13" fillId="4" borderId="6" xfId="1" applyFont="1" applyFill="1" applyBorder="1"/>
    <xf numFmtId="43" fontId="7" fillId="0" borderId="0" xfId="0" applyNumberFormat="1" applyFont="1"/>
    <xf numFmtId="187" fontId="13" fillId="0" borderId="14" xfId="1" applyNumberFormat="1" applyFont="1" applyBorder="1"/>
    <xf numFmtId="187" fontId="11" fillId="0" borderId="0" xfId="1" applyNumberFormat="1" applyFont="1"/>
    <xf numFmtId="0" fontId="11" fillId="0" borderId="0" xfId="0" applyFont="1"/>
    <xf numFmtId="187" fontId="10" fillId="0" borderId="6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87" fontId="10" fillId="0" borderId="0" xfId="1" applyNumberFormat="1" applyFont="1" applyBorder="1"/>
    <xf numFmtId="43" fontId="13" fillId="0" borderId="0" xfId="1" applyFont="1"/>
    <xf numFmtId="0" fontId="11" fillId="0" borderId="0" xfId="0" applyFont="1" applyAlignment="1"/>
    <xf numFmtId="187" fontId="11" fillId="0" borderId="9" xfId="1" applyNumberFormat="1" applyFont="1" applyBorder="1" applyAlignment="1"/>
    <xf numFmtId="187" fontId="11" fillId="0" borderId="9" xfId="1" applyNumberFormat="1" applyFont="1" applyFill="1" applyBorder="1" applyAlignment="1"/>
    <xf numFmtId="187" fontId="11" fillId="0" borderId="14" xfId="1" applyNumberFormat="1" applyFont="1" applyBorder="1" applyAlignment="1"/>
    <xf numFmtId="187" fontId="10" fillId="0" borderId="14" xfId="1" applyNumberFormat="1" applyFont="1" applyBorder="1" applyAlignment="1"/>
    <xf numFmtId="49" fontId="14" fillId="2" borderId="13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0" fillId="2" borderId="7" xfId="0" applyFont="1" applyFill="1" applyBorder="1" applyAlignment="1">
      <alignment horizontal="center"/>
    </xf>
    <xf numFmtId="187" fontId="11" fillId="0" borderId="13" xfId="1" applyNumberFormat="1" applyFont="1" applyBorder="1" applyAlignment="1">
      <alignment horizontal="center"/>
    </xf>
    <xf numFmtId="187" fontId="11" fillId="0" borderId="9" xfId="1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187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87" fontId="11" fillId="0" borderId="0" xfId="1" applyNumberFormat="1" applyFont="1" applyAlignment="1">
      <alignment horizontal="center"/>
    </xf>
    <xf numFmtId="187" fontId="11" fillId="0" borderId="14" xfId="1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3" fillId="4" borderId="6" xfId="1" applyFont="1" applyFill="1" applyBorder="1" applyAlignment="1">
      <alignment horizontal="center"/>
    </xf>
    <xf numFmtId="187" fontId="10" fillId="0" borderId="6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7" fontId="10" fillId="0" borderId="14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43" fontId="6" fillId="0" borderId="6" xfId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3" fontId="6" fillId="0" borderId="9" xfId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" fontId="3" fillId="0" borderId="9" xfId="1" applyNumberFormat="1" applyFont="1" applyFill="1" applyBorder="1" applyAlignment="1">
      <alignment vertical="top"/>
    </xf>
    <xf numFmtId="43" fontId="24" fillId="0" borderId="0" xfId="0" applyNumberFormat="1" applyFont="1" applyFill="1" applyAlignment="1">
      <alignment vertical="top"/>
    </xf>
    <xf numFmtId="49" fontId="5" fillId="0" borderId="9" xfId="0" applyNumberFormat="1" applyFont="1" applyFill="1" applyBorder="1" applyAlignment="1">
      <alignment horizontal="center" vertical="top"/>
    </xf>
    <xf numFmtId="43" fontId="3" fillId="0" borderId="10" xfId="1" applyFont="1" applyFill="1" applyBorder="1" applyAlignment="1">
      <alignment vertical="top"/>
    </xf>
    <xf numFmtId="0" fontId="6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43" fontId="6" fillId="0" borderId="6" xfId="1" applyFont="1" applyFill="1" applyBorder="1" applyAlignment="1">
      <alignment vertical="top"/>
    </xf>
    <xf numFmtId="4" fontId="6" fillId="0" borderId="6" xfId="1" applyNumberFormat="1" applyFont="1" applyFill="1" applyBorder="1" applyAlignment="1">
      <alignment vertical="top"/>
    </xf>
    <xf numFmtId="43" fontId="6" fillId="0" borderId="10" xfId="1" applyFont="1" applyFill="1" applyBorder="1" applyAlignment="1">
      <alignment vertical="top"/>
    </xf>
    <xf numFmtId="0" fontId="24" fillId="0" borderId="0" xfId="0" applyNumberFormat="1" applyFont="1" applyFill="1" applyAlignment="1">
      <alignment vertical="top"/>
    </xf>
    <xf numFmtId="4" fontId="3" fillId="0" borderId="9" xfId="1" applyNumberFormat="1" applyFont="1" applyFill="1" applyBorder="1" applyAlignment="1">
      <alignment horizontal="right" vertical="top"/>
    </xf>
    <xf numFmtId="43" fontId="3" fillId="0" borderId="9" xfId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right" vertical="top"/>
    </xf>
    <xf numFmtId="43" fontId="3" fillId="0" borderId="0" xfId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/>
    </xf>
    <xf numFmtId="43" fontId="6" fillId="0" borderId="16" xfId="1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/>
    </xf>
    <xf numFmtId="43" fontId="3" fillId="0" borderId="11" xfId="1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/>
    </xf>
    <xf numFmtId="43" fontId="6" fillId="0" borderId="11" xfId="1" applyFont="1" applyFill="1" applyBorder="1" applyAlignment="1">
      <alignment vertical="top"/>
    </xf>
    <xf numFmtId="43" fontId="3" fillId="0" borderId="11" xfId="1" applyFont="1" applyFill="1" applyBorder="1" applyAlignment="1">
      <alignment horizontal="right" vertical="top"/>
    </xf>
    <xf numFmtId="43" fontId="3" fillId="0" borderId="7" xfId="1" applyFont="1" applyFill="1" applyBorder="1" applyAlignment="1">
      <alignment vertical="top"/>
    </xf>
    <xf numFmtId="4" fontId="24" fillId="0" borderId="0" xfId="0" applyNumberFormat="1" applyFont="1" applyFill="1" applyAlignment="1">
      <alignment vertical="top"/>
    </xf>
    <xf numFmtId="0" fontId="3" fillId="0" borderId="18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4" fontId="5" fillId="0" borderId="11" xfId="1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horizontal="left" vertical="top" wrapText="1"/>
    </xf>
    <xf numFmtId="4" fontId="6" fillId="0" borderId="7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43" fontId="25" fillId="0" borderId="0" xfId="1" applyFont="1" applyFill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43" fontId="3" fillId="0" borderId="19" xfId="1" applyFont="1" applyFill="1" applyBorder="1" applyAlignment="1">
      <alignment vertical="top"/>
    </xf>
    <xf numFmtId="187" fontId="10" fillId="0" borderId="13" xfId="1" applyNumberFormat="1" applyFont="1" applyBorder="1"/>
    <xf numFmtId="187" fontId="10" fillId="0" borderId="6" xfId="1" applyNumberFormat="1" applyFont="1" applyBorder="1"/>
    <xf numFmtId="40" fontId="10" fillId="0" borderId="9" xfId="0" applyNumberFormat="1" applyFont="1" applyBorder="1" applyAlignment="1">
      <alignment horizontal="center"/>
    </xf>
    <xf numFmtId="0" fontId="13" fillId="0" borderId="0" xfId="0" applyFont="1" applyAlignment="1"/>
    <xf numFmtId="0" fontId="7" fillId="0" borderId="0" xfId="0" applyFont="1" applyAlignment="1"/>
    <xf numFmtId="43" fontId="11" fillId="0" borderId="0" xfId="0" applyNumberFormat="1" applyFont="1" applyAlignment="1"/>
    <xf numFmtId="0" fontId="13" fillId="0" borderId="0" xfId="0" applyFont="1"/>
    <xf numFmtId="0" fontId="11" fillId="0" borderId="0" xfId="0" applyFont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187" fontId="11" fillId="0" borderId="9" xfId="1" applyNumberFormat="1" applyFont="1" applyBorder="1" applyAlignment="1">
      <alignment horizontal="center" vertical="top"/>
    </xf>
    <xf numFmtId="187" fontId="13" fillId="0" borderId="13" xfId="1" applyNumberFormat="1" applyFont="1" applyBorder="1" applyAlignment="1">
      <alignment horizontal="center" vertical="top"/>
    </xf>
    <xf numFmtId="187" fontId="11" fillId="0" borderId="13" xfId="1" applyNumberFormat="1" applyFont="1" applyBorder="1" applyAlignment="1">
      <alignment horizontal="center" vertical="top"/>
    </xf>
    <xf numFmtId="187" fontId="10" fillId="0" borderId="20" xfId="1" applyNumberFormat="1" applyFont="1" applyBorder="1" applyAlignment="1">
      <alignment horizontal="center" vertical="top"/>
    </xf>
    <xf numFmtId="187" fontId="10" fillId="0" borderId="14" xfId="1" applyNumberFormat="1" applyFont="1" applyBorder="1" applyAlignment="1">
      <alignment horizontal="center" vertical="top"/>
    </xf>
    <xf numFmtId="187" fontId="10" fillId="0" borderId="6" xfId="1" applyNumberFormat="1" applyFont="1" applyBorder="1" applyAlignment="1"/>
    <xf numFmtId="187" fontId="10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0" fontId="6" fillId="2" borderId="6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188" fontId="3" fillId="0" borderId="2" xfId="1" applyNumberFormat="1" applyFont="1" applyFill="1" applyBorder="1" applyAlignment="1">
      <alignment horizontal="center" vertical="top"/>
    </xf>
    <xf numFmtId="41" fontId="3" fillId="0" borderId="1" xfId="1" applyNumberFormat="1" applyFont="1" applyFill="1" applyBorder="1" applyAlignment="1">
      <alignment horizontal="center" vertical="top"/>
    </xf>
    <xf numFmtId="43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41" fontId="3" fillId="0" borderId="2" xfId="1" applyNumberFormat="1" applyFont="1" applyFill="1" applyBorder="1" applyAlignment="1">
      <alignment vertical="top"/>
    </xf>
    <xf numFmtId="188" fontId="3" fillId="0" borderId="0" xfId="0" applyNumberFormat="1" applyFont="1" applyAlignment="1">
      <alignment vertical="top"/>
    </xf>
    <xf numFmtId="43" fontId="3" fillId="0" borderId="2" xfId="1" applyFont="1" applyFill="1" applyBorder="1" applyAlignment="1">
      <alignment vertical="top"/>
    </xf>
    <xf numFmtId="41" fontId="3" fillId="0" borderId="5" xfId="1" applyNumberFormat="1" applyFont="1" applyFill="1" applyBorder="1" applyAlignment="1">
      <alignment vertical="top"/>
    </xf>
    <xf numFmtId="187" fontId="3" fillId="0" borderId="5" xfId="1" applyNumberFormat="1" applyFont="1" applyFill="1" applyBorder="1" applyAlignment="1">
      <alignment vertical="top"/>
    </xf>
    <xf numFmtId="187" fontId="3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188" fontId="6" fillId="0" borderId="0" xfId="1" applyNumberFormat="1" applyFont="1" applyBorder="1" applyAlignment="1">
      <alignment vertical="top"/>
    </xf>
    <xf numFmtId="187" fontId="11" fillId="0" borderId="6" xfId="1" applyNumberFormat="1" applyFont="1" applyBorder="1" applyAlignment="1"/>
    <xf numFmtId="0" fontId="11" fillId="0" borderId="9" xfId="0" applyFont="1" applyBorder="1" applyAlignment="1"/>
    <xf numFmtId="0" fontId="11" fillId="0" borderId="0" xfId="0" applyFont="1" applyAlignment="1">
      <alignment vertical="center"/>
    </xf>
    <xf numFmtId="49" fontId="13" fillId="0" borderId="9" xfId="0" applyNumberFormat="1" applyFont="1" applyBorder="1" applyAlignment="1">
      <alignment horizontal="center" vertical="center"/>
    </xf>
    <xf numFmtId="188" fontId="6" fillId="0" borderId="14" xfId="1" applyNumberFormat="1" applyFont="1" applyBorder="1" applyAlignment="1">
      <alignment vertical="top"/>
    </xf>
    <xf numFmtId="4" fontId="1" fillId="0" borderId="0" xfId="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0" xfId="1" applyNumberFormat="1" applyFont="1" applyFill="1" applyBorder="1" applyAlignment="1">
      <alignment vertical="top"/>
    </xf>
    <xf numFmtId="4" fontId="3" fillId="0" borderId="10" xfId="1" applyNumberFormat="1" applyFont="1" applyFill="1" applyBorder="1" applyAlignment="1">
      <alignment horizontal="right" vertical="top"/>
    </xf>
    <xf numFmtId="4" fontId="3" fillId="0" borderId="17" xfId="1" applyNumberFormat="1" applyFont="1" applyFill="1" applyBorder="1" applyAlignment="1">
      <alignment horizontal="right" vertical="top"/>
    </xf>
    <xf numFmtId="4" fontId="6" fillId="0" borderId="24" xfId="0" applyNumberFormat="1" applyFont="1" applyFill="1" applyBorder="1" applyAlignment="1">
      <alignment horizontal="right" vertical="top"/>
    </xf>
    <xf numFmtId="4" fontId="3" fillId="0" borderId="17" xfId="1" applyNumberFormat="1" applyFont="1" applyFill="1" applyBorder="1" applyAlignment="1">
      <alignment vertical="top"/>
    </xf>
    <xf numFmtId="187" fontId="10" fillId="0" borderId="9" xfId="1" applyNumberFormat="1" applyFont="1" applyBorder="1" applyAlignment="1">
      <alignment horizontal="center"/>
    </xf>
    <xf numFmtId="187" fontId="6" fillId="0" borderId="0" xfId="1" applyNumberFormat="1" applyFont="1"/>
    <xf numFmtId="0" fontId="9" fillId="0" borderId="0" xfId="0" applyFont="1" applyBorder="1"/>
    <xf numFmtId="0" fontId="6" fillId="0" borderId="0" xfId="0" applyFont="1" applyFill="1" applyAlignment="1">
      <alignment horizontal="center" vertical="top"/>
    </xf>
    <xf numFmtId="4" fontId="5" fillId="0" borderId="0" xfId="1" applyNumberFormat="1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187" fontId="11" fillId="0" borderId="25" xfId="1" applyNumberFormat="1" applyFont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3" fontId="13" fillId="3" borderId="6" xfId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6" xfId="0" applyFont="1" applyFill="1" applyBorder="1"/>
    <xf numFmtId="43" fontId="13" fillId="3" borderId="6" xfId="1" applyFont="1" applyFill="1" applyBorder="1" applyAlignment="1">
      <alignment horizontal="center" vertical="center"/>
    </xf>
    <xf numFmtId="187" fontId="13" fillId="4" borderId="6" xfId="0" applyNumberFormat="1" applyFont="1" applyFill="1" applyBorder="1"/>
    <xf numFmtId="43" fontId="13" fillId="0" borderId="0" xfId="1" applyFont="1" applyAlignment="1">
      <alignment horizontal="center"/>
    </xf>
    <xf numFmtId="43" fontId="13" fillId="4" borderId="6" xfId="1" applyFont="1" applyFill="1" applyBorder="1" applyAlignment="1">
      <alignment horizontal="center" vertical="center"/>
    </xf>
    <xf numFmtId="43" fontId="13" fillId="0" borderId="0" xfId="0" applyNumberFormat="1" applyFont="1" applyAlignment="1">
      <alignment horizontal="center"/>
    </xf>
    <xf numFmtId="43" fontId="13" fillId="0" borderId="0" xfId="1" applyFont="1" applyAlignment="1"/>
    <xf numFmtId="0" fontId="6" fillId="2" borderId="26" xfId="0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187" fontId="6" fillId="0" borderId="14" xfId="1" applyNumberFormat="1" applyFont="1" applyBorder="1"/>
    <xf numFmtId="187" fontId="3" fillId="0" borderId="11" xfId="1" applyNumberFormat="1" applyFont="1" applyBorder="1" applyAlignment="1">
      <alignment horizontal="center"/>
    </xf>
    <xf numFmtId="187" fontId="3" fillId="0" borderId="10" xfId="1" applyNumberFormat="1" applyFont="1" applyBorder="1"/>
    <xf numFmtId="4" fontId="3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vertical="top"/>
    </xf>
    <xf numFmtId="43" fontId="11" fillId="0" borderId="0" xfId="1" applyFont="1"/>
    <xf numFmtId="43" fontId="10" fillId="0" borderId="9" xfId="1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6" fillId="2" borderId="29" xfId="0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187" fontId="6" fillId="2" borderId="30" xfId="1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43" fontId="6" fillId="0" borderId="0" xfId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center" vertical="top"/>
    </xf>
    <xf numFmtId="43" fontId="6" fillId="0" borderId="15" xfId="1" applyFont="1" applyFill="1" applyBorder="1" applyAlignment="1">
      <alignment horizontal="center" vertical="top"/>
    </xf>
    <xf numFmtId="43" fontId="3" fillId="0" borderId="13" xfId="1" applyFont="1" applyFill="1" applyBorder="1" applyAlignment="1">
      <alignment horizontal="center" vertical="top"/>
    </xf>
    <xf numFmtId="43" fontId="3" fillId="0" borderId="9" xfId="1" applyFont="1" applyFill="1" applyBorder="1" applyAlignment="1">
      <alignment horizontal="center" vertical="top"/>
    </xf>
    <xf numFmtId="4" fontId="3" fillId="0" borderId="18" xfId="1" applyNumberFormat="1" applyFont="1" applyFill="1" applyBorder="1" applyAlignment="1">
      <alignment vertical="top"/>
    </xf>
    <xf numFmtId="43" fontId="6" fillId="0" borderId="31" xfId="1" applyFont="1" applyFill="1" applyBorder="1" applyAlignment="1">
      <alignment horizontal="center" vertical="top"/>
    </xf>
    <xf numFmtId="4" fontId="6" fillId="0" borderId="0" xfId="1" applyNumberFormat="1" applyFont="1" applyFill="1" applyBorder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1" fontId="3" fillId="0" borderId="2" xfId="1" applyNumberFormat="1" applyFont="1" applyFill="1" applyBorder="1" applyAlignment="1">
      <alignment horizontal="center" vertical="top"/>
    </xf>
    <xf numFmtId="187" fontId="16" fillId="2" borderId="7" xfId="1" applyNumberFormat="1" applyFont="1" applyFill="1" applyBorder="1" applyAlignment="1">
      <alignment horizontal="center"/>
    </xf>
    <xf numFmtId="187" fontId="10" fillId="0" borderId="7" xfId="1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/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7" fillId="0" borderId="0" xfId="0" applyFont="1" applyAlignment="1">
      <alignment vertical="center"/>
    </xf>
    <xf numFmtId="187" fontId="3" fillId="0" borderId="28" xfId="1" applyNumberFormat="1" applyFont="1" applyBorder="1" applyAlignment="1">
      <alignment horizontal="left"/>
    </xf>
    <xf numFmtId="187" fontId="4" fillId="0" borderId="11" xfId="1" applyNumberFormat="1" applyFont="1" applyBorder="1"/>
    <xf numFmtId="187" fontId="5" fillId="0" borderId="11" xfId="1" applyNumberFormat="1" applyFont="1" applyBorder="1"/>
    <xf numFmtId="187" fontId="6" fillId="0" borderId="23" xfId="1" applyNumberFormat="1" applyFont="1" applyBorder="1"/>
    <xf numFmtId="187" fontId="6" fillId="0" borderId="12" xfId="1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9" xfId="1" applyFont="1" applyBorder="1" applyAlignment="1">
      <alignment horizontal="right"/>
    </xf>
    <xf numFmtId="43" fontId="3" fillId="0" borderId="11" xfId="1" applyFont="1" applyBorder="1" applyAlignment="1">
      <alignment horizontal="center"/>
    </xf>
    <xf numFmtId="43" fontId="3" fillId="0" borderId="10" xfId="1" applyFont="1" applyBorder="1" applyAlignment="1">
      <alignment vertical="center"/>
    </xf>
    <xf numFmtId="43" fontId="3" fillId="0" borderId="9" xfId="1" applyFont="1" applyBorder="1"/>
    <xf numFmtId="43" fontId="3" fillId="0" borderId="9" xfId="1" applyFont="1" applyBorder="1" applyAlignment="1">
      <alignment vertical="center"/>
    </xf>
    <xf numFmtId="43" fontId="3" fillId="0" borderId="10" xfId="1" applyFont="1" applyBorder="1"/>
    <xf numFmtId="187" fontId="6" fillId="0" borderId="0" xfId="1" applyNumberFormat="1" applyFont="1" applyBorder="1" applyAlignment="1">
      <alignment horizontal="center"/>
    </xf>
    <xf numFmtId="0" fontId="19" fillId="0" borderId="11" xfId="0" applyFont="1" applyBorder="1" applyAlignment="1"/>
    <xf numFmtId="0" fontId="6" fillId="0" borderId="11" xfId="0" applyFont="1" applyBorder="1" applyAlignment="1">
      <alignment horizontal="left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187" fontId="11" fillId="0" borderId="17" xfId="1" applyNumberFormat="1" applyFont="1" applyBorder="1" applyAlignment="1">
      <alignment horizontal="center"/>
    </xf>
    <xf numFmtId="187" fontId="11" fillId="0" borderId="0" xfId="1" applyNumberFormat="1" applyFont="1" applyBorder="1" applyAlignment="1">
      <alignment horizontal="center"/>
    </xf>
    <xf numFmtId="187" fontId="11" fillId="0" borderId="10" xfId="1" applyNumberFormat="1" applyFont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vertical="top"/>
    </xf>
    <xf numFmtId="49" fontId="3" fillId="0" borderId="2" xfId="0" applyNumberFormat="1" applyFont="1" applyBorder="1" applyAlignment="1">
      <alignment horizontal="justify" vertical="top"/>
    </xf>
    <xf numFmtId="188" fontId="3" fillId="0" borderId="2" xfId="1" applyNumberFormat="1" applyFont="1" applyFill="1" applyBorder="1" applyAlignment="1">
      <alignment vertical="top"/>
    </xf>
    <xf numFmtId="188" fontId="3" fillId="0" borderId="2" xfId="1" applyNumberFormat="1" applyFont="1" applyFill="1" applyBorder="1" applyAlignment="1">
      <alignment horizontal="right" vertical="top"/>
    </xf>
    <xf numFmtId="0" fontId="21" fillId="0" borderId="9" xfId="0" applyFont="1" applyFill="1" applyBorder="1" applyAlignment="1">
      <alignment vertical="top"/>
    </xf>
    <xf numFmtId="0" fontId="2" fillId="5" borderId="26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top"/>
    </xf>
    <xf numFmtId="187" fontId="3" fillId="0" borderId="9" xfId="1" applyNumberFormat="1" applyFont="1" applyFill="1" applyBorder="1"/>
    <xf numFmtId="187" fontId="11" fillId="0" borderId="7" xfId="1" applyNumberFormat="1" applyFont="1" applyBorder="1" applyAlignment="1">
      <alignment horizontal="center" vertical="top"/>
    </xf>
    <xf numFmtId="187" fontId="11" fillId="0" borderId="10" xfId="1" applyNumberFormat="1" applyFont="1" applyBorder="1" applyAlignment="1">
      <alignment horizontal="center" vertical="top"/>
    </xf>
    <xf numFmtId="187" fontId="13" fillId="0" borderId="10" xfId="1" applyNumberFormat="1" applyFont="1" applyBorder="1" applyAlignment="1">
      <alignment horizontal="center" vertical="top"/>
    </xf>
    <xf numFmtId="0" fontId="13" fillId="4" borderId="6" xfId="0" applyFont="1" applyFill="1" applyBorder="1" applyAlignment="1">
      <alignment horizontal="center"/>
    </xf>
    <xf numFmtId="0" fontId="19" fillId="0" borderId="9" xfId="0" applyFont="1" applyFill="1" applyBorder="1" applyAlignment="1"/>
    <xf numFmtId="4" fontId="6" fillId="0" borderId="13" xfId="1" applyNumberFormat="1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vertical="top"/>
    </xf>
    <xf numFmtId="0" fontId="22" fillId="5" borderId="26" xfId="0" applyFont="1" applyFill="1" applyBorder="1" applyAlignment="1">
      <alignment horizontal="center"/>
    </xf>
    <xf numFmtId="43" fontId="3" fillId="0" borderId="32" xfId="1" applyFont="1" applyBorder="1" applyAlignment="1">
      <alignment horizontal="right"/>
    </xf>
    <xf numFmtId="43" fontId="3" fillId="0" borderId="7" xfId="1" applyFont="1" applyBorder="1" applyAlignment="1">
      <alignment horizontal="center"/>
    </xf>
    <xf numFmtId="187" fontId="10" fillId="2" borderId="22" xfId="1" applyNumberFormat="1" applyFont="1" applyFill="1" applyBorder="1" applyAlignment="1">
      <alignment horizontal="center"/>
    </xf>
    <xf numFmtId="187" fontId="10" fillId="2" borderId="15" xfId="1" applyNumberFormat="1" applyFont="1" applyFill="1" applyBorder="1" applyAlignment="1">
      <alignment horizontal="center"/>
    </xf>
    <xf numFmtId="187" fontId="10" fillId="2" borderId="21" xfId="1" applyNumberFormat="1" applyFont="1" applyFill="1" applyBorder="1" applyAlignment="1">
      <alignment horizontal="center"/>
    </xf>
    <xf numFmtId="187" fontId="10" fillId="0" borderId="0" xfId="1" applyNumberFormat="1" applyFont="1" applyBorder="1" applyAlignment="1">
      <alignment horizontal="center"/>
    </xf>
    <xf numFmtId="187" fontId="10" fillId="0" borderId="0" xfId="1" applyNumberFormat="1" applyFont="1" applyAlignment="1">
      <alignment horizontal="center"/>
    </xf>
    <xf numFmtId="187" fontId="10" fillId="0" borderId="18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7" fontId="6" fillId="0" borderId="0" xfId="1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90" zoomScaleNormal="90" workbookViewId="0">
      <selection activeCell="D77" sqref="D77"/>
    </sheetView>
  </sheetViews>
  <sheetFormatPr defaultRowHeight="18.75"/>
  <cols>
    <col min="1" max="1" width="10.625" style="26" customWidth="1"/>
    <col min="2" max="2" width="9" style="26"/>
    <col min="3" max="3" width="9.375" style="26" customWidth="1"/>
    <col min="4" max="4" width="11.25" style="26" customWidth="1"/>
    <col min="5" max="5" width="26.875" style="26" customWidth="1"/>
    <col min="6" max="6" width="9" style="128"/>
    <col min="7" max="7" width="11.125" style="26" customWidth="1"/>
    <col min="8" max="8" width="12.125" style="30" customWidth="1"/>
    <col min="9" max="9" width="11.625" style="30" customWidth="1"/>
    <col min="10" max="14" width="9" style="30"/>
    <col min="15" max="15" width="10.75" style="30" customWidth="1"/>
    <col min="16" max="16" width="10.5" style="30" customWidth="1"/>
    <col min="17" max="18" width="9" style="128"/>
    <col min="19" max="19" width="9" style="30"/>
    <col min="20" max="16384" width="9" style="11"/>
  </cols>
  <sheetData>
    <row r="1" spans="1:22">
      <c r="A1" s="281" t="s">
        <v>101</v>
      </c>
      <c r="B1" s="281"/>
      <c r="C1" s="281"/>
      <c r="D1" s="281"/>
      <c r="E1" s="281"/>
      <c r="F1" s="281"/>
      <c r="G1" s="281"/>
    </row>
    <row r="2" spans="1:22">
      <c r="A2" s="281" t="s">
        <v>29</v>
      </c>
      <c r="B2" s="281"/>
      <c r="C2" s="281"/>
      <c r="D2" s="281"/>
      <c r="E2" s="281"/>
      <c r="F2" s="281"/>
      <c r="G2" s="281"/>
    </row>
    <row r="3" spans="1:22">
      <c r="A3" s="282" t="s">
        <v>203</v>
      </c>
      <c r="B3" s="282"/>
      <c r="C3" s="282"/>
      <c r="D3" s="282"/>
      <c r="E3" s="282"/>
      <c r="F3" s="282"/>
      <c r="G3" s="282"/>
    </row>
    <row r="4" spans="1:22">
      <c r="A4" s="282" t="s">
        <v>296</v>
      </c>
      <c r="B4" s="282"/>
      <c r="C4" s="282"/>
      <c r="D4" s="282"/>
      <c r="E4" s="282"/>
      <c r="F4" s="282"/>
      <c r="G4" s="282"/>
    </row>
    <row r="5" spans="1:22">
      <c r="A5" s="283"/>
      <c r="B5" s="283"/>
      <c r="C5" s="283"/>
      <c r="D5" s="283"/>
      <c r="E5" s="283"/>
      <c r="F5" s="283"/>
      <c r="G5" s="283"/>
    </row>
    <row r="6" spans="1:22">
      <c r="A6" s="278" t="s">
        <v>30</v>
      </c>
      <c r="B6" s="279"/>
      <c r="C6" s="279"/>
      <c r="D6" s="280"/>
      <c r="E6" s="13"/>
      <c r="F6" s="246"/>
      <c r="G6" s="12" t="s">
        <v>31</v>
      </c>
    </row>
    <row r="7" spans="1:22">
      <c r="A7" s="14" t="s">
        <v>32</v>
      </c>
      <c r="B7" s="14" t="s">
        <v>12</v>
      </c>
      <c r="C7" s="14" t="s">
        <v>17</v>
      </c>
      <c r="D7" s="14" t="s">
        <v>33</v>
      </c>
      <c r="E7" s="15" t="s">
        <v>19</v>
      </c>
      <c r="F7" s="247" t="s">
        <v>34</v>
      </c>
      <c r="G7" s="14" t="s">
        <v>33</v>
      </c>
    </row>
    <row r="8" spans="1:22">
      <c r="A8" s="16" t="s">
        <v>35</v>
      </c>
      <c r="B8" s="215" t="s">
        <v>122</v>
      </c>
      <c r="C8" s="16" t="s">
        <v>114</v>
      </c>
      <c r="D8" s="16" t="s">
        <v>35</v>
      </c>
      <c r="E8" s="17"/>
      <c r="F8" s="248" t="s">
        <v>36</v>
      </c>
      <c r="G8" s="16" t="s">
        <v>35</v>
      </c>
    </row>
    <row r="9" spans="1:22">
      <c r="A9" s="18"/>
      <c r="B9" s="18"/>
      <c r="C9" s="18"/>
      <c r="D9" s="122">
        <v>13701025.720000001</v>
      </c>
      <c r="E9" s="228" t="s">
        <v>20</v>
      </c>
      <c r="F9" s="39"/>
      <c r="G9" s="196">
        <v>16125077.73</v>
      </c>
      <c r="H9" s="178" t="s">
        <v>37</v>
      </c>
      <c r="I9" s="178" t="s">
        <v>38</v>
      </c>
      <c r="J9" s="178" t="s">
        <v>39</v>
      </c>
      <c r="K9" s="178" t="s">
        <v>40</v>
      </c>
      <c r="L9" s="178" t="s">
        <v>41</v>
      </c>
      <c r="M9" s="178" t="s">
        <v>42</v>
      </c>
      <c r="N9" s="178" t="s">
        <v>43</v>
      </c>
      <c r="O9" s="178" t="s">
        <v>44</v>
      </c>
      <c r="P9" s="178" t="s">
        <v>45</v>
      </c>
      <c r="Q9" s="179" t="s">
        <v>46</v>
      </c>
      <c r="R9" s="179" t="s">
        <v>47</v>
      </c>
      <c r="S9" s="178" t="s">
        <v>48</v>
      </c>
    </row>
    <row r="10" spans="1:22">
      <c r="A10" s="19"/>
      <c r="B10" s="19"/>
      <c r="C10" s="19"/>
      <c r="D10" s="20"/>
      <c r="E10" s="229" t="s">
        <v>245</v>
      </c>
      <c r="F10" s="40"/>
      <c r="G10" s="20"/>
      <c r="H10" s="22"/>
      <c r="I10" s="22"/>
      <c r="J10" s="22"/>
      <c r="K10" s="22"/>
      <c r="L10" s="22"/>
      <c r="M10" s="22"/>
      <c r="N10" s="22"/>
      <c r="O10" s="22"/>
      <c r="P10" s="22"/>
      <c r="Q10" s="180"/>
      <c r="R10" s="180"/>
      <c r="S10" s="22"/>
    </row>
    <row r="11" spans="1:22">
      <c r="A11" s="32">
        <v>558600</v>
      </c>
      <c r="B11" s="19"/>
      <c r="C11" s="32">
        <f>SUM(D11)</f>
        <v>0</v>
      </c>
      <c r="D11" s="33">
        <f t="shared" ref="D11:D17" si="0">SUM(H11:S11)</f>
        <v>0</v>
      </c>
      <c r="E11" s="219" t="s">
        <v>49</v>
      </c>
      <c r="F11" s="40" t="s">
        <v>157</v>
      </c>
      <c r="G11" s="32">
        <f>SUM(J11)</f>
        <v>0</v>
      </c>
      <c r="H11" s="22"/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V11" s="158" t="s">
        <v>49</v>
      </c>
    </row>
    <row r="12" spans="1:22">
      <c r="A12" s="32">
        <v>2144910</v>
      </c>
      <c r="B12" s="19"/>
      <c r="C12" s="32">
        <f t="shared" ref="C12:C18" si="1">SUM(D12)</f>
        <v>345180.19999999995</v>
      </c>
      <c r="D12" s="33">
        <f t="shared" si="0"/>
        <v>345180.19999999995</v>
      </c>
      <c r="E12" s="219" t="s">
        <v>50</v>
      </c>
      <c r="F12" s="40" t="s">
        <v>158</v>
      </c>
      <c r="G12" s="32">
        <f>SUM(J12)</f>
        <v>154433.4</v>
      </c>
      <c r="H12" s="22">
        <f>745.9</f>
        <v>745.9</v>
      </c>
      <c r="I12" s="180">
        <v>190000.9</v>
      </c>
      <c r="J12" s="180">
        <v>154433.4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V12" s="158" t="s">
        <v>50</v>
      </c>
    </row>
    <row r="13" spans="1:22">
      <c r="A13" s="32">
        <v>704000</v>
      </c>
      <c r="B13" s="19"/>
      <c r="C13" s="32">
        <f t="shared" si="1"/>
        <v>0</v>
      </c>
      <c r="D13" s="33">
        <f t="shared" si="0"/>
        <v>0</v>
      </c>
      <c r="E13" s="219" t="s">
        <v>237</v>
      </c>
      <c r="F13" s="40" t="s">
        <v>159</v>
      </c>
      <c r="G13" s="32">
        <f t="shared" ref="G13:G19" si="2">SUM(J13)</f>
        <v>0</v>
      </c>
      <c r="H13" s="22"/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V13" s="158" t="s">
        <v>51</v>
      </c>
    </row>
    <row r="14" spans="1:22">
      <c r="A14" s="32">
        <v>350000</v>
      </c>
      <c r="B14" s="19"/>
      <c r="C14" s="32">
        <f t="shared" si="1"/>
        <v>124582</v>
      </c>
      <c r="D14" s="32">
        <f>SUM(H14:S14)</f>
        <v>124582</v>
      </c>
      <c r="E14" s="219" t="s">
        <v>52</v>
      </c>
      <c r="F14" s="40" t="s">
        <v>160</v>
      </c>
      <c r="G14" s="32">
        <f t="shared" si="2"/>
        <v>30692</v>
      </c>
      <c r="H14" s="22">
        <f>47212</f>
        <v>47212</v>
      </c>
      <c r="I14" s="180">
        <v>46678</v>
      </c>
      <c r="J14" s="180">
        <v>30692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U14" s="21">
        <f>SUM(D14)</f>
        <v>124582</v>
      </c>
      <c r="V14" s="158" t="s">
        <v>52</v>
      </c>
    </row>
    <row r="15" spans="1:22">
      <c r="A15" s="32">
        <v>44500</v>
      </c>
      <c r="B15" s="19"/>
      <c r="C15" s="32">
        <f t="shared" si="1"/>
        <v>700</v>
      </c>
      <c r="D15" s="32">
        <f t="shared" si="0"/>
        <v>700</v>
      </c>
      <c r="E15" s="219" t="s">
        <v>53</v>
      </c>
      <c r="F15" s="40" t="s">
        <v>161</v>
      </c>
      <c r="G15" s="32">
        <f t="shared" si="2"/>
        <v>0</v>
      </c>
      <c r="H15" s="22">
        <v>0</v>
      </c>
      <c r="I15" s="180">
        <v>700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V15" s="158" t="s">
        <v>53</v>
      </c>
    </row>
    <row r="16" spans="1:22">
      <c r="A16" s="32">
        <v>3500</v>
      </c>
      <c r="B16" s="19"/>
      <c r="C16" s="32">
        <f t="shared" si="1"/>
        <v>0</v>
      </c>
      <c r="D16" s="32">
        <f t="shared" si="0"/>
        <v>0</v>
      </c>
      <c r="E16" s="219" t="s">
        <v>119</v>
      </c>
      <c r="F16" s="40" t="s">
        <v>162</v>
      </c>
      <c r="G16" s="32">
        <f t="shared" si="2"/>
        <v>0</v>
      </c>
      <c r="H16" s="22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V16" s="158" t="s">
        <v>119</v>
      </c>
    </row>
    <row r="17" spans="1:22">
      <c r="A17" s="32">
        <v>11477000</v>
      </c>
      <c r="B17" s="19"/>
      <c r="C17" s="32">
        <f t="shared" si="1"/>
        <v>3528007.4399999995</v>
      </c>
      <c r="D17" s="32">
        <f t="shared" si="0"/>
        <v>3528007.4399999995</v>
      </c>
      <c r="E17" s="219" t="s">
        <v>54</v>
      </c>
      <c r="F17" s="40" t="s">
        <v>163</v>
      </c>
      <c r="G17" s="32">
        <f t="shared" si="2"/>
        <v>1282659.1399999999</v>
      </c>
      <c r="H17" s="22">
        <f>80335</f>
        <v>80335</v>
      </c>
      <c r="I17" s="180">
        <v>2165013.2999999998</v>
      </c>
      <c r="J17" s="180">
        <v>1282659.1399999999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V17" s="158" t="s">
        <v>54</v>
      </c>
    </row>
    <row r="18" spans="1:22">
      <c r="A18" s="32">
        <v>15460000</v>
      </c>
      <c r="B18" s="19"/>
      <c r="C18" s="32">
        <f t="shared" si="1"/>
        <v>8190549</v>
      </c>
      <c r="D18" s="32">
        <f>SUM(H18:S18)</f>
        <v>8190549</v>
      </c>
      <c r="E18" s="219" t="s">
        <v>55</v>
      </c>
      <c r="F18" s="40" t="s">
        <v>164</v>
      </c>
      <c r="G18" s="32">
        <f t="shared" si="2"/>
        <v>3444628</v>
      </c>
      <c r="H18" s="22">
        <v>0</v>
      </c>
      <c r="I18" s="180">
        <v>4745921</v>
      </c>
      <c r="J18" s="180">
        <v>3444628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U18" s="23">
        <f>SUM(G20-1996432.07)</f>
        <v>2915980.4699999997</v>
      </c>
      <c r="V18" s="158" t="s">
        <v>55</v>
      </c>
    </row>
    <row r="19" spans="1:22">
      <c r="A19" s="32"/>
      <c r="B19" s="19">
        <f>SUM(H19:S19)</f>
        <v>0</v>
      </c>
      <c r="C19" s="32">
        <f>SUM(H19:S19)</f>
        <v>0</v>
      </c>
      <c r="D19" s="32"/>
      <c r="E19" s="219" t="s">
        <v>123</v>
      </c>
      <c r="F19" s="40" t="s">
        <v>165</v>
      </c>
      <c r="G19" s="32">
        <f t="shared" si="2"/>
        <v>0</v>
      </c>
      <c r="H19" s="22"/>
      <c r="I19" s="22"/>
      <c r="J19" s="22"/>
      <c r="K19" s="22"/>
      <c r="L19" s="22"/>
      <c r="M19" s="22"/>
      <c r="N19" s="22">
        <v>0</v>
      </c>
      <c r="O19" s="22">
        <v>0</v>
      </c>
      <c r="P19" s="22">
        <v>0</v>
      </c>
      <c r="Q19" s="180"/>
      <c r="R19" s="180">
        <v>0</v>
      </c>
      <c r="S19" s="22">
        <v>0</v>
      </c>
      <c r="U19" s="23"/>
      <c r="V19" s="158" t="s">
        <v>123</v>
      </c>
    </row>
    <row r="20" spans="1:22" ht="19.5" thickBot="1">
      <c r="A20" s="34">
        <f>SUM(A9:A18)</f>
        <v>30742510</v>
      </c>
      <c r="B20" s="24">
        <f>SUM(B19)</f>
        <v>0</v>
      </c>
      <c r="C20" s="34">
        <f>SUM(C11:C19)</f>
        <v>12189018.640000001</v>
      </c>
      <c r="D20" s="35">
        <f>SUM(D11:D18)</f>
        <v>12189018.640000001</v>
      </c>
      <c r="E20" s="218"/>
      <c r="F20" s="40"/>
      <c r="G20" s="35">
        <f>SUM(G11+G12+G13+G14+G15+G16+G17+G18)</f>
        <v>4912412.54</v>
      </c>
      <c r="H20" s="178" t="s">
        <v>37</v>
      </c>
      <c r="I20" s="178" t="s">
        <v>38</v>
      </c>
      <c r="J20" s="178" t="s">
        <v>39</v>
      </c>
      <c r="K20" s="178" t="s">
        <v>40</v>
      </c>
      <c r="L20" s="178" t="s">
        <v>41</v>
      </c>
      <c r="M20" s="178" t="s">
        <v>42</v>
      </c>
      <c r="N20" s="178" t="s">
        <v>43</v>
      </c>
      <c r="O20" s="181" t="s">
        <v>44</v>
      </c>
      <c r="P20" s="178" t="s">
        <v>45</v>
      </c>
      <c r="Q20" s="179" t="s">
        <v>46</v>
      </c>
      <c r="R20" s="179" t="s">
        <v>47</v>
      </c>
      <c r="S20" s="178" t="s">
        <v>48</v>
      </c>
    </row>
    <row r="21" spans="1:22" ht="19.5" thickTop="1">
      <c r="A21" s="25"/>
      <c r="B21" s="25"/>
      <c r="C21" s="25"/>
      <c r="D21" s="20">
        <f>SUM(H21:S21)</f>
        <v>0</v>
      </c>
      <c r="E21" s="230" t="s">
        <v>105</v>
      </c>
      <c r="F21" s="160"/>
      <c r="G21" s="32">
        <f>SUM(J21)</f>
        <v>0</v>
      </c>
      <c r="H21" s="22"/>
      <c r="I21" s="22">
        <v>0</v>
      </c>
      <c r="J21" s="22"/>
      <c r="K21" s="22"/>
      <c r="L21" s="22"/>
      <c r="M21" s="22"/>
      <c r="N21" s="22">
        <v>0</v>
      </c>
      <c r="O21" s="22">
        <v>0</v>
      </c>
      <c r="P21" s="22">
        <v>0</v>
      </c>
      <c r="Q21" s="180">
        <v>0</v>
      </c>
      <c r="R21" s="180"/>
      <c r="S21" s="22"/>
      <c r="U21" s="23">
        <f>SUM(G20-1996432.07)-2089.65</f>
        <v>2913890.82</v>
      </c>
      <c r="V21" s="159" t="s">
        <v>105</v>
      </c>
    </row>
    <row r="22" spans="1:22">
      <c r="A22" s="25"/>
      <c r="B22" s="25"/>
      <c r="C22" s="25"/>
      <c r="D22" s="20">
        <f>SUM(H22:S22)</f>
        <v>1495000</v>
      </c>
      <c r="E22" s="230" t="s">
        <v>118</v>
      </c>
      <c r="F22" s="160" t="s">
        <v>137</v>
      </c>
      <c r="G22" s="32">
        <f>SUM(J22)</f>
        <v>0</v>
      </c>
      <c r="H22" s="22">
        <f>1495000</f>
        <v>1495000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U22" s="23"/>
      <c r="V22" s="159" t="s">
        <v>118</v>
      </c>
    </row>
    <row r="23" spans="1:22">
      <c r="A23" s="25"/>
      <c r="B23" s="25"/>
      <c r="C23" s="25"/>
      <c r="D23" s="20">
        <f>SUM(H23+I23+J23+K23+L23+M23+N23+O23+P23+Q23+R23+S23)</f>
        <v>106166</v>
      </c>
      <c r="E23" s="230" t="s">
        <v>241</v>
      </c>
      <c r="F23" s="160" t="s">
        <v>132</v>
      </c>
      <c r="G23" s="32">
        <f t="shared" ref="G23:G30" si="3">SUM(J23)</f>
        <v>22788</v>
      </c>
      <c r="H23" s="22">
        <v>42546</v>
      </c>
      <c r="I23" s="22">
        <v>40832</v>
      </c>
      <c r="J23" s="22">
        <v>22788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V23" s="159" t="s">
        <v>111</v>
      </c>
    </row>
    <row r="24" spans="1:22">
      <c r="A24" s="25"/>
      <c r="B24" s="25"/>
      <c r="C24" s="25"/>
      <c r="D24" s="20">
        <f>SUM(H24+I24+J24+K24+L24+M24+N24+O24+P24+Q24+R24+S24)</f>
        <v>177648.05</v>
      </c>
      <c r="E24" s="230" t="s">
        <v>246</v>
      </c>
      <c r="F24" s="160" t="s">
        <v>132</v>
      </c>
      <c r="G24" s="32">
        <f t="shared" si="3"/>
        <v>0</v>
      </c>
      <c r="H24" s="22">
        <v>177648.05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V24" s="159" t="s">
        <v>111</v>
      </c>
    </row>
    <row r="25" spans="1:22">
      <c r="A25" s="25"/>
      <c r="B25" s="25"/>
      <c r="C25" s="25"/>
      <c r="D25" s="20">
        <f>SUM(H25:S25)</f>
        <v>262000</v>
      </c>
      <c r="E25" s="230" t="s">
        <v>107</v>
      </c>
      <c r="F25" s="160" t="s">
        <v>166</v>
      </c>
      <c r="G25" s="32">
        <f t="shared" si="3"/>
        <v>0</v>
      </c>
      <c r="H25" s="22" t="s">
        <v>207</v>
      </c>
      <c r="I25" s="22">
        <v>262000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V25" s="159" t="s">
        <v>107</v>
      </c>
    </row>
    <row r="26" spans="1:22">
      <c r="A26" s="25"/>
      <c r="B26" s="25"/>
      <c r="C26" s="25"/>
      <c r="D26" s="20">
        <f>SUM(H26:S26)</f>
        <v>0</v>
      </c>
      <c r="E26" s="230" t="s">
        <v>125</v>
      </c>
      <c r="F26" s="160" t="s">
        <v>136</v>
      </c>
      <c r="G26" s="32">
        <f t="shared" si="3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V26" s="159" t="s">
        <v>125</v>
      </c>
    </row>
    <row r="27" spans="1:22">
      <c r="A27" s="25"/>
      <c r="B27" s="25"/>
      <c r="C27" s="25"/>
      <c r="D27" s="20">
        <f>SUM(H27+I27+J27+K27+L27+M27+N27+O27+P27+Q27+R27+S27)</f>
        <v>127829.72999999998</v>
      </c>
      <c r="E27" s="230" t="s">
        <v>267</v>
      </c>
      <c r="F27" s="160" t="s">
        <v>242</v>
      </c>
      <c r="G27" s="32">
        <f t="shared" si="3"/>
        <v>15487.18</v>
      </c>
      <c r="H27" s="22">
        <v>14368.68</v>
      </c>
      <c r="I27" s="22">
        <v>97973.87</v>
      </c>
      <c r="J27" s="22">
        <v>15487.18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V27" s="159" t="s">
        <v>177</v>
      </c>
    </row>
    <row r="28" spans="1:22">
      <c r="A28" s="25"/>
      <c r="B28" s="25"/>
      <c r="C28" s="25"/>
      <c r="D28" s="20">
        <f>SUM(H28+I28+J28+K28+L28+M28+N28+O28+P28+Q28+R28+S28)</f>
        <v>3000</v>
      </c>
      <c r="E28" s="230" t="s">
        <v>56</v>
      </c>
      <c r="F28" s="160" t="s">
        <v>131</v>
      </c>
      <c r="G28" s="32">
        <f t="shared" si="3"/>
        <v>1000</v>
      </c>
      <c r="H28" s="22">
        <v>1000</v>
      </c>
      <c r="I28" s="22">
        <v>1000</v>
      </c>
      <c r="J28" s="22">
        <v>1000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V28" s="159" t="s">
        <v>56</v>
      </c>
    </row>
    <row r="29" spans="1:22">
      <c r="A29" s="25"/>
      <c r="B29" s="25"/>
      <c r="C29" s="25"/>
      <c r="D29" s="20"/>
      <c r="E29" s="230"/>
      <c r="F29" s="160"/>
      <c r="G29" s="32">
        <f t="shared" si="3"/>
        <v>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V29" s="159"/>
    </row>
    <row r="30" spans="1:22">
      <c r="A30" s="25"/>
      <c r="B30" s="25"/>
      <c r="C30" s="25"/>
      <c r="D30" s="20"/>
      <c r="E30" s="230"/>
      <c r="F30" s="160"/>
      <c r="G30" s="32">
        <f t="shared" si="3"/>
        <v>0</v>
      </c>
      <c r="H30" s="22"/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V30" s="159" t="s">
        <v>121</v>
      </c>
    </row>
    <row r="31" spans="1:22">
      <c r="A31" s="25"/>
      <c r="B31" s="25"/>
      <c r="C31" s="25"/>
      <c r="D31" s="27">
        <f>SUM(D21:D30)</f>
        <v>2171643.7800000003</v>
      </c>
      <c r="E31" s="11"/>
      <c r="F31" s="41"/>
      <c r="G31" s="157">
        <f>SUM(G21:G30)</f>
        <v>39275.18</v>
      </c>
      <c r="H31" s="22"/>
      <c r="I31" s="22"/>
      <c r="J31" s="22"/>
      <c r="K31" s="22"/>
      <c r="L31" s="22"/>
      <c r="M31" s="22"/>
      <c r="N31" s="22"/>
      <c r="O31" s="22"/>
      <c r="P31" s="22"/>
      <c r="Q31" s="182"/>
      <c r="R31" s="182"/>
      <c r="S31" s="22"/>
    </row>
    <row r="32" spans="1:22">
      <c r="A32" s="25"/>
      <c r="B32" s="25"/>
      <c r="C32" s="25"/>
      <c r="D32" s="123">
        <f>SUM(D20+D31)</f>
        <v>14360662.420000002</v>
      </c>
      <c r="E32" s="226" t="s">
        <v>57</v>
      </c>
      <c r="F32" s="42"/>
      <c r="G32" s="136">
        <f>SUM(G20+G31)</f>
        <v>4951687.72</v>
      </c>
      <c r="I32" s="30">
        <f>SUM(G32-G20)</f>
        <v>39275.179999999702</v>
      </c>
      <c r="K32" s="30">
        <f>2390510.73-2385045.02</f>
        <v>5465.7099999999627</v>
      </c>
      <c r="L32" s="30">
        <f>SUM(4703890.19-4707594.58)</f>
        <v>-3704.3899999996647</v>
      </c>
      <c r="M32" s="30">
        <f>G32-963731.82</f>
        <v>3987955.9</v>
      </c>
      <c r="O32" s="30">
        <f>SUM(G32-1854059.49)</f>
        <v>3097628.2299999995</v>
      </c>
      <c r="P32" s="30">
        <f>1234678.53-1234267.29</f>
        <v>411.23999999999069</v>
      </c>
      <c r="U32" s="23">
        <f>SUM(G32-2089058.65)</f>
        <v>2862629.07</v>
      </c>
    </row>
    <row r="33" spans="1:22">
      <c r="A33" s="25"/>
      <c r="B33" s="25"/>
      <c r="C33" s="25"/>
      <c r="D33" s="29"/>
      <c r="E33" s="28"/>
      <c r="F33" s="42"/>
      <c r="G33" s="29"/>
      <c r="U33" s="23"/>
    </row>
    <row r="34" spans="1:22">
      <c r="A34" s="25"/>
      <c r="B34" s="25"/>
      <c r="C34" s="25"/>
      <c r="D34" s="29"/>
      <c r="E34" s="28"/>
      <c r="F34" s="42"/>
      <c r="G34" s="29"/>
      <c r="U34" s="23"/>
    </row>
    <row r="35" spans="1:22">
      <c r="A35" s="25"/>
      <c r="B35" s="25"/>
      <c r="C35" s="25"/>
      <c r="D35" s="29"/>
      <c r="E35" s="28"/>
      <c r="F35" s="42"/>
      <c r="G35" s="29"/>
      <c r="U35" s="23"/>
    </row>
    <row r="36" spans="1:22">
      <c r="A36" s="25"/>
      <c r="B36" s="25"/>
      <c r="C36" s="25"/>
      <c r="D36" s="29"/>
      <c r="E36" s="28"/>
      <c r="F36" s="42"/>
      <c r="G36" s="29"/>
      <c r="U36" s="23"/>
    </row>
    <row r="37" spans="1:22">
      <c r="A37" s="25"/>
      <c r="B37" s="25"/>
      <c r="C37" s="25"/>
      <c r="D37" s="29"/>
      <c r="E37" s="28"/>
      <c r="F37" s="42"/>
      <c r="G37" s="29"/>
      <c r="U37" s="23"/>
    </row>
    <row r="38" spans="1:22">
      <c r="A38" s="25"/>
      <c r="B38" s="25"/>
      <c r="C38" s="25"/>
      <c r="D38" s="29"/>
      <c r="E38" s="28"/>
      <c r="F38" s="42"/>
      <c r="G38" s="29"/>
      <c r="U38" s="23"/>
    </row>
    <row r="39" spans="1:22">
      <c r="A39" s="25"/>
      <c r="B39" s="25"/>
      <c r="C39" s="25"/>
      <c r="D39" s="29"/>
      <c r="E39" s="28"/>
      <c r="F39" s="42"/>
      <c r="G39" s="29"/>
      <c r="U39" s="23"/>
    </row>
    <row r="40" spans="1:22">
      <c r="A40" s="25"/>
      <c r="B40" s="25"/>
      <c r="C40" s="25"/>
      <c r="D40" s="29"/>
      <c r="E40" s="28"/>
      <c r="F40" s="42"/>
      <c r="G40" s="137" t="s">
        <v>178</v>
      </c>
      <c r="U40" s="23"/>
    </row>
    <row r="41" spans="1:22" s="44" customFormat="1">
      <c r="A41" s="278" t="s">
        <v>30</v>
      </c>
      <c r="B41" s="279"/>
      <c r="C41" s="279"/>
      <c r="D41" s="280"/>
      <c r="E41" s="43"/>
      <c r="F41" s="36"/>
      <c r="G41" s="12" t="s">
        <v>31</v>
      </c>
      <c r="H41" s="183"/>
      <c r="I41" s="183"/>
      <c r="J41" s="183"/>
      <c r="K41" s="183"/>
      <c r="L41" s="183"/>
      <c r="M41" s="183"/>
      <c r="N41" s="183"/>
      <c r="O41" s="30"/>
      <c r="P41" s="183"/>
      <c r="Q41" s="61"/>
      <c r="R41" s="61"/>
      <c r="S41" s="183"/>
      <c r="U41" s="45">
        <f>SUM(U32-22693)</f>
        <v>2839936.07</v>
      </c>
    </row>
    <row r="42" spans="1:22" s="44" customFormat="1">
      <c r="A42" s="14" t="s">
        <v>32</v>
      </c>
      <c r="B42" s="14" t="s">
        <v>12</v>
      </c>
      <c r="C42" s="14" t="s">
        <v>17</v>
      </c>
      <c r="D42" s="14" t="s">
        <v>33</v>
      </c>
      <c r="E42" s="15" t="s">
        <v>19</v>
      </c>
      <c r="F42" s="37" t="s">
        <v>34</v>
      </c>
      <c r="G42" s="14" t="s">
        <v>33</v>
      </c>
      <c r="H42" s="178" t="s">
        <v>37</v>
      </c>
      <c r="I42" s="178" t="s">
        <v>38</v>
      </c>
      <c r="J42" s="178" t="s">
        <v>39</v>
      </c>
      <c r="K42" s="178" t="s">
        <v>40</v>
      </c>
      <c r="L42" s="178" t="s">
        <v>41</v>
      </c>
      <c r="M42" s="178" t="s">
        <v>42</v>
      </c>
      <c r="N42" s="178" t="s">
        <v>43</v>
      </c>
      <c r="O42" s="178" t="s">
        <v>44</v>
      </c>
      <c r="P42" s="178" t="s">
        <v>45</v>
      </c>
      <c r="Q42" s="179" t="s">
        <v>46</v>
      </c>
      <c r="R42" s="179" t="s">
        <v>47</v>
      </c>
      <c r="S42" s="178" t="s">
        <v>48</v>
      </c>
    </row>
    <row r="43" spans="1:22" s="44" customFormat="1">
      <c r="A43" s="16" t="s">
        <v>35</v>
      </c>
      <c r="B43" s="16" t="s">
        <v>122</v>
      </c>
      <c r="C43" s="16" t="s">
        <v>114</v>
      </c>
      <c r="D43" s="16" t="s">
        <v>35</v>
      </c>
      <c r="E43" s="46"/>
      <c r="F43" s="38" t="s">
        <v>36</v>
      </c>
      <c r="G43" s="16" t="s">
        <v>35</v>
      </c>
      <c r="H43" s="183"/>
      <c r="I43" s="183"/>
      <c r="J43" s="183"/>
      <c r="K43" s="183"/>
      <c r="L43" s="183"/>
      <c r="M43" s="183"/>
      <c r="N43" s="183"/>
      <c r="O43" s="183"/>
      <c r="P43" s="183"/>
      <c r="Q43" s="61"/>
      <c r="R43" s="61"/>
      <c r="S43" s="183"/>
      <c r="U43" s="45">
        <f>SUM(U41-4068.41)</f>
        <v>2835867.6599999997</v>
      </c>
    </row>
    <row r="44" spans="1:22" s="44" customFormat="1" ht="18" customHeight="1">
      <c r="A44" s="47"/>
      <c r="B44" s="47"/>
      <c r="C44" s="47"/>
      <c r="D44" s="47"/>
      <c r="E44" s="217" t="s">
        <v>58</v>
      </c>
      <c r="F44" s="39"/>
      <c r="G44" s="133"/>
      <c r="H44" s="183"/>
      <c r="I44" s="183" t="s">
        <v>59</v>
      </c>
      <c r="J44" s="183"/>
      <c r="K44" s="183"/>
      <c r="L44" s="183"/>
      <c r="M44" s="183"/>
      <c r="N44" s="183"/>
      <c r="O44" s="183"/>
      <c r="P44" s="183"/>
      <c r="Q44" s="61"/>
      <c r="R44" s="61"/>
      <c r="S44" s="183"/>
    </row>
    <row r="45" spans="1:22" s="44" customFormat="1" ht="18" customHeight="1">
      <c r="A45" s="131">
        <v>145149</v>
      </c>
      <c r="B45" s="131"/>
      <c r="C45" s="131">
        <f t="shared" ref="C45:C50" si="4">SUM(D45)</f>
        <v>26460</v>
      </c>
      <c r="D45" s="131">
        <f t="shared" ref="D45:D54" si="5">SUM(H45+I45+J45+K45+L45+M45+N45+O45+P45+Q45+R45+S45)</f>
        <v>26460</v>
      </c>
      <c r="E45" s="218" t="s">
        <v>230</v>
      </c>
      <c r="F45" s="40" t="s">
        <v>238</v>
      </c>
      <c r="G45" s="131">
        <f>SUM(J45)</f>
        <v>9070</v>
      </c>
      <c r="H45" s="56">
        <v>0</v>
      </c>
      <c r="I45" s="56">
        <v>17390</v>
      </c>
      <c r="J45" s="56">
        <v>9070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V45" s="130" t="s">
        <v>61</v>
      </c>
    </row>
    <row r="46" spans="1:22" s="44" customFormat="1" ht="18" customHeight="1">
      <c r="A46" s="131">
        <v>5700100</v>
      </c>
      <c r="B46" s="131"/>
      <c r="C46" s="131">
        <f t="shared" si="4"/>
        <v>1108000</v>
      </c>
      <c r="D46" s="131">
        <f t="shared" si="5"/>
        <v>1108000</v>
      </c>
      <c r="E46" s="218" t="s">
        <v>232</v>
      </c>
      <c r="F46" s="40" t="s">
        <v>238</v>
      </c>
      <c r="G46" s="131">
        <f>SUM(J46)</f>
        <v>450300</v>
      </c>
      <c r="H46" s="56">
        <v>208200</v>
      </c>
      <c r="I46" s="56">
        <v>449500</v>
      </c>
      <c r="J46" s="56">
        <v>450300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V46" s="130" t="s">
        <v>173</v>
      </c>
    </row>
    <row r="47" spans="1:22" s="44" customFormat="1" ht="18" customHeight="1">
      <c r="A47" s="131">
        <v>1550000</v>
      </c>
      <c r="B47" s="131"/>
      <c r="C47" s="131">
        <f t="shared" si="4"/>
        <v>214400</v>
      </c>
      <c r="D47" s="131">
        <f t="shared" si="5"/>
        <v>214400</v>
      </c>
      <c r="E47" s="218" t="s">
        <v>233</v>
      </c>
      <c r="F47" s="40" t="s">
        <v>238</v>
      </c>
      <c r="G47" s="131">
        <f t="shared" ref="G47:G62" si="6">SUM(J47)</f>
        <v>90400</v>
      </c>
      <c r="H47" s="56">
        <v>32800</v>
      </c>
      <c r="I47" s="56">
        <v>91200</v>
      </c>
      <c r="J47" s="56">
        <v>90400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V47" s="130" t="s">
        <v>174</v>
      </c>
    </row>
    <row r="48" spans="1:22" s="44" customFormat="1" ht="18" customHeight="1">
      <c r="A48" s="131">
        <v>30000</v>
      </c>
      <c r="B48" s="131"/>
      <c r="C48" s="131">
        <f t="shared" si="4"/>
        <v>3000</v>
      </c>
      <c r="D48" s="131">
        <f t="shared" si="5"/>
        <v>3000</v>
      </c>
      <c r="E48" s="218" t="s">
        <v>231</v>
      </c>
      <c r="F48" s="40" t="s">
        <v>238</v>
      </c>
      <c r="G48" s="131">
        <f t="shared" si="6"/>
        <v>1000</v>
      </c>
      <c r="H48" s="56">
        <v>1000</v>
      </c>
      <c r="I48" s="56">
        <v>1000</v>
      </c>
      <c r="J48" s="56">
        <v>1000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V48" s="130" t="s">
        <v>172</v>
      </c>
    </row>
    <row r="49" spans="1:22" s="44" customFormat="1" ht="18" customHeight="1">
      <c r="A49" s="131">
        <v>244355</v>
      </c>
      <c r="B49" s="131"/>
      <c r="C49" s="131">
        <f t="shared" si="4"/>
        <v>236670</v>
      </c>
      <c r="D49" s="131">
        <f t="shared" si="5"/>
        <v>236670</v>
      </c>
      <c r="E49" s="218" t="s">
        <v>229</v>
      </c>
      <c r="F49" s="40" t="s">
        <v>238</v>
      </c>
      <c r="G49" s="131">
        <f t="shared" si="6"/>
        <v>236670</v>
      </c>
      <c r="H49" s="56"/>
      <c r="I49" s="56">
        <v>0</v>
      </c>
      <c r="J49" s="56">
        <v>236670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0">
        <f>SUM(D47:D49)</f>
        <v>454070</v>
      </c>
      <c r="V49" s="130" t="s">
        <v>60</v>
      </c>
    </row>
    <row r="50" spans="1:22" s="44" customFormat="1" ht="18" customHeight="1">
      <c r="A50" s="131">
        <f>130570-10200</f>
        <v>120370</v>
      </c>
      <c r="B50" s="131"/>
      <c r="C50" s="131">
        <f t="shared" si="4"/>
        <v>118441.9</v>
      </c>
      <c r="D50" s="131">
        <f t="shared" si="5"/>
        <v>118441.9</v>
      </c>
      <c r="E50" s="218" t="s">
        <v>228</v>
      </c>
      <c r="F50" s="40" t="s">
        <v>238</v>
      </c>
      <c r="G50" s="131">
        <f t="shared" si="6"/>
        <v>118441.9</v>
      </c>
      <c r="H50" s="56"/>
      <c r="I50" s="56">
        <v>0</v>
      </c>
      <c r="J50" s="56">
        <v>118441.9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V50" s="130" t="s">
        <v>108</v>
      </c>
    </row>
    <row r="51" spans="1:22" s="44" customFormat="1" ht="18" customHeight="1">
      <c r="A51" s="131">
        <v>305645</v>
      </c>
      <c r="B51" s="131"/>
      <c r="C51" s="131">
        <f>SUM(D51)</f>
        <v>305640</v>
      </c>
      <c r="D51" s="131">
        <f t="shared" si="5"/>
        <v>305640</v>
      </c>
      <c r="E51" s="219" t="s">
        <v>227</v>
      </c>
      <c r="F51" s="40" t="s">
        <v>238</v>
      </c>
      <c r="G51" s="131">
        <f t="shared" si="6"/>
        <v>305640</v>
      </c>
      <c r="H51" s="56"/>
      <c r="I51" s="56">
        <v>0</v>
      </c>
      <c r="J51" s="56">
        <v>305640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V51" s="130" t="s">
        <v>109</v>
      </c>
    </row>
    <row r="52" spans="1:22" s="44" customFormat="1" ht="18" customHeight="1">
      <c r="A52" s="131">
        <v>2624640</v>
      </c>
      <c r="B52" s="131"/>
      <c r="C52" s="131">
        <f t="shared" ref="C52:C60" si="7">SUM(D52)</f>
        <v>656160</v>
      </c>
      <c r="D52" s="131">
        <f t="shared" si="5"/>
        <v>656160</v>
      </c>
      <c r="E52" s="219" t="s">
        <v>78</v>
      </c>
      <c r="F52" s="40" t="s">
        <v>139</v>
      </c>
      <c r="G52" s="131">
        <f t="shared" si="6"/>
        <v>218720</v>
      </c>
      <c r="H52" s="56">
        <v>218720</v>
      </c>
      <c r="I52" s="56">
        <v>218720</v>
      </c>
      <c r="J52" s="56">
        <v>218720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U52" s="45">
        <f>SUM(D51:D51)</f>
        <v>305640</v>
      </c>
      <c r="V52" s="49" t="s">
        <v>62</v>
      </c>
    </row>
    <row r="53" spans="1:22" s="44" customFormat="1" ht="18" customHeight="1">
      <c r="A53" s="131">
        <v>8081830</v>
      </c>
      <c r="B53" s="131"/>
      <c r="C53" s="131">
        <f t="shared" si="7"/>
        <v>1643859</v>
      </c>
      <c r="D53" s="131">
        <f t="shared" si="5"/>
        <v>1643859</v>
      </c>
      <c r="E53" s="218" t="s">
        <v>79</v>
      </c>
      <c r="F53" s="40" t="s">
        <v>140</v>
      </c>
      <c r="G53" s="131">
        <f t="shared" si="6"/>
        <v>548215</v>
      </c>
      <c r="H53" s="56">
        <v>552429</v>
      </c>
      <c r="I53" s="56">
        <v>543215</v>
      </c>
      <c r="J53" s="56">
        <v>548215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V53" s="130" t="s">
        <v>63</v>
      </c>
    </row>
    <row r="54" spans="1:22" s="44" customFormat="1" ht="18" customHeight="1">
      <c r="A54" s="131">
        <v>257000</v>
      </c>
      <c r="B54" s="131"/>
      <c r="C54" s="131">
        <f t="shared" si="7"/>
        <v>30050</v>
      </c>
      <c r="D54" s="131">
        <f t="shared" si="5"/>
        <v>30050</v>
      </c>
      <c r="E54" s="218" t="s">
        <v>8</v>
      </c>
      <c r="F54" s="40" t="s">
        <v>141</v>
      </c>
      <c r="G54" s="131">
        <f t="shared" si="6"/>
        <v>21050</v>
      </c>
      <c r="H54" s="56">
        <v>3000</v>
      </c>
      <c r="I54" s="56">
        <v>6000</v>
      </c>
      <c r="J54" s="56">
        <v>21050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V54" s="130" t="s">
        <v>64</v>
      </c>
    </row>
    <row r="55" spans="1:22" s="44" customFormat="1" ht="18" customHeight="1">
      <c r="A55" s="131">
        <f>5549200+120000-64800-5000-10000-5000</f>
        <v>5584400</v>
      </c>
      <c r="B55" s="131"/>
      <c r="C55" s="131">
        <f>SUM(D55)</f>
        <v>1818826.74</v>
      </c>
      <c r="D55" s="131">
        <f>SUM(H55+I55+J55+K55+L55+M55+N55+O55+P55+Q55+R55+S55)</f>
        <v>1818826.74</v>
      </c>
      <c r="E55" s="220" t="s">
        <v>9</v>
      </c>
      <c r="F55" s="40" t="s">
        <v>142</v>
      </c>
      <c r="G55" s="131">
        <f t="shared" si="6"/>
        <v>519050.5</v>
      </c>
      <c r="H55" s="56">
        <v>56670.74</v>
      </c>
      <c r="I55" s="56">
        <v>1243105.5</v>
      </c>
      <c r="J55" s="56">
        <v>519050.5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V55" s="130" t="s">
        <v>65</v>
      </c>
    </row>
    <row r="56" spans="1:22" s="44" customFormat="1" ht="18" customHeight="1">
      <c r="A56" s="131">
        <f>2025521-70000-5000</f>
        <v>1950521</v>
      </c>
      <c r="B56" s="131"/>
      <c r="C56" s="131">
        <f t="shared" si="7"/>
        <v>21980.45</v>
      </c>
      <c r="D56" s="131">
        <f t="shared" ref="D56:D62" si="8">SUM(H56+I56+J56+K56+L56+M56+N56+O56+P56+Q56+R56+S56)</f>
        <v>21980.45</v>
      </c>
      <c r="E56" s="220" t="s">
        <v>10</v>
      </c>
      <c r="F56" s="40" t="s">
        <v>143</v>
      </c>
      <c r="G56" s="131">
        <f t="shared" si="6"/>
        <v>8200.35</v>
      </c>
      <c r="H56" s="56">
        <v>0</v>
      </c>
      <c r="I56" s="56">
        <v>13780.1</v>
      </c>
      <c r="J56" s="56">
        <v>8200.35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V56" s="130" t="s">
        <v>66</v>
      </c>
    </row>
    <row r="57" spans="1:22" s="44" customFormat="1" ht="18" customHeight="1">
      <c r="A57" s="131">
        <f>752000-50000</f>
        <v>702000</v>
      </c>
      <c r="B57" s="131"/>
      <c r="C57" s="131">
        <f t="shared" si="7"/>
        <v>165373.46</v>
      </c>
      <c r="D57" s="131">
        <f t="shared" si="8"/>
        <v>165373.46</v>
      </c>
      <c r="E57" s="220" t="s">
        <v>11</v>
      </c>
      <c r="F57" s="40" t="s">
        <v>144</v>
      </c>
      <c r="G57" s="131">
        <f t="shared" si="6"/>
        <v>59925.34</v>
      </c>
      <c r="H57" s="56">
        <v>57592.31</v>
      </c>
      <c r="I57" s="56">
        <v>47855.81</v>
      </c>
      <c r="J57" s="56">
        <v>59925.34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V57" s="130" t="s">
        <v>67</v>
      </c>
    </row>
    <row r="58" spans="1:22" s="44" customFormat="1" ht="18" customHeight="1">
      <c r="A58" s="131">
        <f>1002500+100000</f>
        <v>1102500</v>
      </c>
      <c r="B58" s="131"/>
      <c r="C58" s="131">
        <f>SUM(D58)</f>
        <v>0</v>
      </c>
      <c r="D58" s="131">
        <f>SUM(H58+I58+J58+K58+L58+M58+N58+O58+P58+Q58+R58+S58)</f>
        <v>0</v>
      </c>
      <c r="E58" s="221" t="s">
        <v>13</v>
      </c>
      <c r="F58" s="40" t="s">
        <v>145</v>
      </c>
      <c r="G58" s="131">
        <f t="shared" si="6"/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V58" s="129" t="s">
        <v>69</v>
      </c>
    </row>
    <row r="59" spans="1:22" s="44" customFormat="1" ht="18" customHeight="1">
      <c r="A59" s="131">
        <v>532000</v>
      </c>
      <c r="B59" s="131"/>
      <c r="C59" s="131">
        <f>SUM(D59)</f>
        <v>0</v>
      </c>
      <c r="D59" s="131">
        <f>SUM(H59+I59+J59+K59+L59+M59+N59+O59+P59+Q59+R59+S59)</f>
        <v>0</v>
      </c>
      <c r="E59" s="221" t="s">
        <v>14</v>
      </c>
      <c r="F59" s="40" t="s">
        <v>146</v>
      </c>
      <c r="G59" s="131">
        <f t="shared" si="6"/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V59" s="129" t="s">
        <v>70</v>
      </c>
    </row>
    <row r="60" spans="1:22" s="44" customFormat="1" ht="18" customHeight="1">
      <c r="A60" s="131">
        <v>5000</v>
      </c>
      <c r="B60" s="131"/>
      <c r="C60" s="131">
        <f t="shared" si="7"/>
        <v>0</v>
      </c>
      <c r="D60" s="131">
        <f t="shared" si="8"/>
        <v>0</v>
      </c>
      <c r="E60" s="221" t="s">
        <v>15</v>
      </c>
      <c r="F60" s="40" t="s">
        <v>239</v>
      </c>
      <c r="G60" s="131">
        <f t="shared" si="6"/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V60" s="129" t="s">
        <v>68</v>
      </c>
    </row>
    <row r="61" spans="1:22" s="44" customFormat="1" ht="18" customHeight="1">
      <c r="A61" s="131">
        <v>1807000</v>
      </c>
      <c r="B61" s="131"/>
      <c r="C61" s="131">
        <f>SUM(D61)</f>
        <v>406000</v>
      </c>
      <c r="D61" s="131">
        <f>SUM(H61+I61+J61+K61+L61+M61+N61+O61+P61+Q61+R61+S61)</f>
        <v>406000</v>
      </c>
      <c r="E61" s="221" t="s">
        <v>12</v>
      </c>
      <c r="F61" s="40" t="s">
        <v>181</v>
      </c>
      <c r="G61" s="131">
        <f t="shared" si="6"/>
        <v>306000</v>
      </c>
      <c r="H61" s="56">
        <v>100000</v>
      </c>
      <c r="I61" s="56">
        <v>0</v>
      </c>
      <c r="J61" s="56">
        <v>306000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V61" s="129" t="s">
        <v>68</v>
      </c>
    </row>
    <row r="62" spans="1:22" s="44" customFormat="1" ht="18" customHeight="1">
      <c r="A62" s="263"/>
      <c r="B62" s="265">
        <f>SUM(S62)</f>
        <v>0</v>
      </c>
      <c r="C62" s="264">
        <f>SUM(H62:S62)</f>
        <v>0</v>
      </c>
      <c r="D62" s="264">
        <f t="shared" si="8"/>
        <v>0</v>
      </c>
      <c r="E62" s="221" t="s">
        <v>123</v>
      </c>
      <c r="F62" s="40" t="s">
        <v>240</v>
      </c>
      <c r="G62" s="131">
        <f t="shared" si="6"/>
        <v>0</v>
      </c>
      <c r="H62" s="56"/>
      <c r="I62" s="56"/>
      <c r="J62" s="56"/>
      <c r="K62" s="56"/>
      <c r="L62" s="56"/>
      <c r="M62" s="56"/>
      <c r="N62" s="56">
        <v>0</v>
      </c>
      <c r="O62" s="56">
        <v>0</v>
      </c>
      <c r="P62" s="56"/>
      <c r="Q62" s="266"/>
      <c r="R62" s="266"/>
      <c r="S62" s="56">
        <v>0</v>
      </c>
      <c r="V62" s="129" t="s">
        <v>124</v>
      </c>
    </row>
    <row r="63" spans="1:22" s="44" customFormat="1" ht="18" customHeight="1" thickBot="1">
      <c r="A63" s="176">
        <f>SUM(A44:A61)</f>
        <v>30742510</v>
      </c>
      <c r="B63" s="132">
        <f>SUM(B62)</f>
        <v>0</v>
      </c>
      <c r="C63" s="133">
        <f>SUM(C45:C62)</f>
        <v>6754861.5500000007</v>
      </c>
      <c r="D63" s="134">
        <f>SUM(D45:D61)</f>
        <v>6754861.5500000007</v>
      </c>
      <c r="E63" s="222"/>
      <c r="F63" s="40"/>
      <c r="G63" s="135">
        <f>SUM(G45:G61)</f>
        <v>2892683.09</v>
      </c>
      <c r="H63" s="178" t="s">
        <v>37</v>
      </c>
      <c r="I63" s="178" t="s">
        <v>38</v>
      </c>
      <c r="J63" s="178" t="s">
        <v>39</v>
      </c>
      <c r="K63" s="178" t="s">
        <v>40</v>
      </c>
      <c r="L63" s="178" t="s">
        <v>41</v>
      </c>
      <c r="M63" s="178" t="s">
        <v>42</v>
      </c>
      <c r="N63" s="178" t="s">
        <v>43</v>
      </c>
      <c r="O63" s="178" t="s">
        <v>44</v>
      </c>
      <c r="P63" s="178" t="s">
        <v>45</v>
      </c>
      <c r="Q63" s="179" t="s">
        <v>46</v>
      </c>
      <c r="R63" s="179" t="s">
        <v>47</v>
      </c>
      <c r="S63" s="178" t="s">
        <v>48</v>
      </c>
      <c r="V63" s="51"/>
    </row>
    <row r="64" spans="1:22" s="44" customFormat="1" ht="18" customHeight="1" thickTop="1" thickBot="1">
      <c r="A64" s="52"/>
      <c r="B64" s="53">
        <f>SUM(B20-B63)</f>
        <v>0</v>
      </c>
      <c r="C64" s="53">
        <f>SUM(C20-C63)</f>
        <v>5434157.0899999999</v>
      </c>
      <c r="D64" s="48">
        <f t="shared" ref="D64:D70" si="9">SUM(H64+I64+J64+K64+L64+M64+N64+O64+P64+Q64+R64+S64)</f>
        <v>262000</v>
      </c>
      <c r="E64" s="221" t="s">
        <v>234</v>
      </c>
      <c r="F64" s="40" t="s">
        <v>133</v>
      </c>
      <c r="G64" s="131">
        <f>SUM(I64)</f>
        <v>0</v>
      </c>
      <c r="H64" s="56">
        <v>262000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V64" s="175" t="s">
        <v>71</v>
      </c>
    </row>
    <row r="65" spans="1:22" s="44" customFormat="1" ht="18" customHeight="1" thickTop="1">
      <c r="A65" s="52"/>
      <c r="B65" s="52"/>
      <c r="C65" s="52"/>
      <c r="D65" s="48">
        <f t="shared" si="9"/>
        <v>124582</v>
      </c>
      <c r="E65" s="223" t="s">
        <v>244</v>
      </c>
      <c r="F65" s="54" t="s">
        <v>132</v>
      </c>
      <c r="G65" s="131">
        <f t="shared" ref="G65:G71" si="10">SUM(J65)</f>
        <v>30692</v>
      </c>
      <c r="H65" s="184">
        <v>47212</v>
      </c>
      <c r="I65" s="56">
        <v>46678</v>
      </c>
      <c r="J65" s="56">
        <v>30692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V65" s="175" t="s">
        <v>214</v>
      </c>
    </row>
    <row r="66" spans="1:22" s="44" customFormat="1" ht="18" customHeight="1">
      <c r="A66" s="52"/>
      <c r="B66" s="52"/>
      <c r="C66" s="52"/>
      <c r="D66" s="48">
        <f t="shared" si="9"/>
        <v>285929.88</v>
      </c>
      <c r="E66" s="221" t="s">
        <v>285</v>
      </c>
      <c r="F66" s="40" t="s">
        <v>135</v>
      </c>
      <c r="G66" s="131">
        <f t="shared" si="10"/>
        <v>0</v>
      </c>
      <c r="H66" s="184"/>
      <c r="I66" s="56">
        <v>285929.88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V66" s="175"/>
    </row>
    <row r="67" spans="1:22" s="44" customFormat="1" ht="18" customHeight="1">
      <c r="A67" s="52"/>
      <c r="B67" s="52"/>
      <c r="C67" s="52"/>
      <c r="D67" s="48">
        <f>SUM(H67+I67+J67+K67+L67+M67+N67+O67+P67+Q67+R67+S67)</f>
        <v>458572.51999999996</v>
      </c>
      <c r="E67" s="221" t="s">
        <v>266</v>
      </c>
      <c r="F67" s="40" t="s">
        <v>150</v>
      </c>
      <c r="G67" s="131">
        <f t="shared" si="10"/>
        <v>29213.87</v>
      </c>
      <c r="H67" s="56">
        <v>341865.97</v>
      </c>
      <c r="I67" s="56">
        <v>87492.68</v>
      </c>
      <c r="J67" s="56">
        <v>29213.87</v>
      </c>
      <c r="K67" s="56"/>
      <c r="L67" s="56"/>
      <c r="M67" s="56"/>
      <c r="N67" s="56"/>
      <c r="O67" s="56"/>
      <c r="P67" s="56"/>
      <c r="Q67" s="56"/>
      <c r="R67" s="56"/>
      <c r="S67" s="56"/>
      <c r="V67" s="175"/>
    </row>
    <row r="68" spans="1:22" s="44" customFormat="1" ht="18" customHeight="1">
      <c r="A68" s="52"/>
      <c r="B68" s="52"/>
      <c r="C68" s="52"/>
      <c r="D68" s="48">
        <f>SUM(H68+I68+J68+K68+L68+M68+N68+O68+P68+Q68+R68+S68)</f>
        <v>2051565.7</v>
      </c>
      <c r="E68" s="223" t="s">
        <v>220</v>
      </c>
      <c r="F68" s="54" t="s">
        <v>147</v>
      </c>
      <c r="G68" s="131">
        <f t="shared" si="10"/>
        <v>0</v>
      </c>
      <c r="H68" s="184">
        <v>556565.69999999995</v>
      </c>
      <c r="I68" s="56">
        <v>1495000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V68" s="175"/>
    </row>
    <row r="69" spans="1:22" s="44" customFormat="1" ht="18" customHeight="1">
      <c r="A69" s="52"/>
      <c r="B69" s="52"/>
      <c r="C69" s="52"/>
      <c r="D69" s="48">
        <f t="shared" si="9"/>
        <v>0</v>
      </c>
      <c r="E69" s="221" t="s">
        <v>243</v>
      </c>
      <c r="F69" s="40" t="s">
        <v>131</v>
      </c>
      <c r="G69" s="131">
        <f t="shared" si="10"/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V69" s="175"/>
    </row>
    <row r="70" spans="1:22" s="44" customFormat="1" ht="18" customHeight="1">
      <c r="A70" s="52"/>
      <c r="B70" s="52"/>
      <c r="C70" s="52"/>
      <c r="D70" s="48">
        <f t="shared" si="9"/>
        <v>0</v>
      </c>
      <c r="E70" s="221" t="s">
        <v>235</v>
      </c>
      <c r="F70" s="54" t="s">
        <v>136</v>
      </c>
      <c r="G70" s="131">
        <f t="shared" si="10"/>
        <v>0</v>
      </c>
      <c r="H70" s="56"/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V70" s="175" t="s">
        <v>216</v>
      </c>
    </row>
    <row r="71" spans="1:22" s="44" customFormat="1" ht="18" customHeight="1">
      <c r="A71" s="52"/>
      <c r="B71" s="251"/>
      <c r="C71" s="252"/>
      <c r="D71" s="250">
        <f>SUM(H71+I71+J71+K71+L71+M71+N71+O71+P71+Q71+R71+S71)</f>
        <v>149500</v>
      </c>
      <c r="E71" s="224" t="s">
        <v>236</v>
      </c>
      <c r="F71" s="41" t="s">
        <v>149</v>
      </c>
      <c r="G71" s="131">
        <f t="shared" si="10"/>
        <v>149500</v>
      </c>
      <c r="H71" s="56"/>
      <c r="I71" s="56">
        <v>0</v>
      </c>
      <c r="J71" s="56">
        <v>149500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V71" s="175" t="s">
        <v>169</v>
      </c>
    </row>
    <row r="72" spans="1:22" s="44" customFormat="1" ht="18" customHeight="1">
      <c r="A72" s="55"/>
      <c r="B72" s="55"/>
      <c r="C72" s="55"/>
      <c r="D72" s="216">
        <f>SUM(D64:D71)</f>
        <v>3332150.0999999996</v>
      </c>
      <c r="E72" s="55"/>
      <c r="F72" s="58"/>
      <c r="G72" s="57">
        <f>SUM(G64:G71)</f>
        <v>209405.87</v>
      </c>
      <c r="H72" s="183"/>
      <c r="I72" s="183">
        <f>SUM(I64:I71)</f>
        <v>1915100.56</v>
      </c>
      <c r="J72" s="183">
        <f>SUM(J64:J71)</f>
        <v>209405.87</v>
      </c>
      <c r="K72" s="183">
        <f>SUM(K64:K71)</f>
        <v>0</v>
      </c>
      <c r="L72" s="183">
        <f>SUM(L64:L71)</f>
        <v>0</v>
      </c>
      <c r="M72" s="183">
        <f>SUM(M64:M71)</f>
        <v>0</v>
      </c>
      <c r="N72" s="183"/>
      <c r="O72" s="183"/>
      <c r="P72" s="183"/>
      <c r="Q72" s="61"/>
      <c r="R72" s="61"/>
      <c r="S72" s="183"/>
    </row>
    <row r="73" spans="1:22" s="44" customFormat="1" ht="18" customHeight="1" thickBot="1">
      <c r="A73" s="55"/>
      <c r="B73" s="55"/>
      <c r="C73" s="55"/>
      <c r="D73" s="59">
        <f>SUM(D63+D72)</f>
        <v>10087011.65</v>
      </c>
      <c r="E73" s="225" t="s">
        <v>72</v>
      </c>
      <c r="F73" s="60"/>
      <c r="G73" s="59">
        <f>SUM(G63+G72)</f>
        <v>3102088.96</v>
      </c>
      <c r="H73" s="183"/>
      <c r="I73" s="183"/>
      <c r="J73" s="183"/>
      <c r="K73" s="183"/>
      <c r="L73" s="183"/>
      <c r="M73" s="183">
        <f>2272859.7-2277420.95</f>
        <v>-4561.25</v>
      </c>
      <c r="N73" s="183"/>
      <c r="O73" s="183"/>
      <c r="P73" s="183"/>
      <c r="Q73" s="61"/>
      <c r="R73" s="185">
        <f>SUM(G73-2103694.82)</f>
        <v>998394.14000000013</v>
      </c>
      <c r="S73" s="183"/>
    </row>
    <row r="74" spans="1:22" s="44" customFormat="1" ht="18" customHeight="1" thickTop="1">
      <c r="A74" s="55"/>
      <c r="B74" s="55"/>
      <c r="C74" s="55"/>
      <c r="D74" s="170">
        <f>SUM(D20-D63)</f>
        <v>5434157.0899999999</v>
      </c>
      <c r="E74" s="226" t="s">
        <v>73</v>
      </c>
      <c r="F74" s="61"/>
      <c r="G74" s="170">
        <f>SUM(G32-G73)</f>
        <v>1849598.7599999998</v>
      </c>
      <c r="H74" s="183"/>
      <c r="I74" s="183">
        <f>SUM(G73-21777)+570</f>
        <v>3080881.96</v>
      </c>
      <c r="J74" s="183"/>
      <c r="K74" s="183"/>
      <c r="L74" s="183"/>
      <c r="M74" s="183"/>
      <c r="N74" s="183"/>
      <c r="O74" s="183">
        <f>SUM(G73-2086575.16)</f>
        <v>1015513.8</v>
      </c>
      <c r="P74" s="183"/>
      <c r="Q74" s="61"/>
      <c r="R74" s="61"/>
      <c r="S74" s="183"/>
    </row>
    <row r="75" spans="1:22" s="44" customFormat="1" ht="18" customHeight="1">
      <c r="A75" s="55"/>
      <c r="B75" s="55"/>
      <c r="C75" s="55"/>
      <c r="D75" s="124"/>
      <c r="E75" s="44" t="s">
        <v>74</v>
      </c>
      <c r="F75" s="61"/>
      <c r="G75" s="62"/>
      <c r="H75" s="183"/>
      <c r="I75" s="183"/>
      <c r="J75" s="183"/>
      <c r="K75" s="183"/>
      <c r="L75" s="183"/>
      <c r="M75" s="183"/>
      <c r="N75" s="183"/>
      <c r="O75" s="183"/>
      <c r="P75" s="183"/>
      <c r="Q75" s="61"/>
      <c r="R75" s="61"/>
      <c r="S75" s="183"/>
    </row>
    <row r="76" spans="1:22" s="44" customFormat="1" ht="18" customHeight="1">
      <c r="A76" s="55"/>
      <c r="B76" s="55"/>
      <c r="C76" s="55"/>
      <c r="D76" s="63"/>
      <c r="E76" s="227" t="s">
        <v>75</v>
      </c>
      <c r="F76" s="61"/>
      <c r="G76" s="63"/>
      <c r="H76" s="183"/>
      <c r="I76" s="183"/>
      <c r="J76" s="183"/>
      <c r="K76" s="183"/>
      <c r="L76" s="183"/>
      <c r="M76" s="183"/>
      <c r="N76" s="183"/>
      <c r="O76" s="183"/>
      <c r="P76" s="183"/>
      <c r="Q76" s="61"/>
      <c r="R76" s="61"/>
      <c r="S76" s="183"/>
    </row>
    <row r="77" spans="1:22" s="44" customFormat="1" ht="18" customHeight="1" thickBot="1">
      <c r="A77" s="55"/>
      <c r="B77" s="55"/>
      <c r="C77" s="55"/>
      <c r="D77" s="59">
        <f>SUM(D9+D32-D73+C19)</f>
        <v>17974676.490000002</v>
      </c>
      <c r="E77" s="225" t="s">
        <v>76</v>
      </c>
      <c r="F77" s="60"/>
      <c r="G77" s="59">
        <f>G9+G32-G73+G19-D62</f>
        <v>17974676.489999998</v>
      </c>
      <c r="H77" s="183"/>
      <c r="I77" s="183">
        <f>SUM(D77-G77)</f>
        <v>3.7252902984619141E-9</v>
      </c>
      <c r="J77" s="183"/>
      <c r="K77" s="183"/>
      <c r="L77" s="183"/>
      <c r="M77" s="183"/>
      <c r="N77" s="183"/>
      <c r="O77" s="183">
        <f>SUM(G76-2086575.16)</f>
        <v>-2086575.16</v>
      </c>
      <c r="P77" s="183"/>
      <c r="Q77" s="61"/>
      <c r="R77" s="61"/>
      <c r="S77" s="183"/>
    </row>
    <row r="78" spans="1:22" s="126" customFormat="1" ht="18" customHeight="1" thickTop="1">
      <c r="A78" s="31"/>
      <c r="B78" s="31"/>
      <c r="C78" s="31"/>
      <c r="D78" s="31"/>
      <c r="E78" s="31"/>
      <c r="F78" s="125"/>
      <c r="G78" s="31"/>
      <c r="H78" s="186">
        <f>SUM(D77-G77)</f>
        <v>3.7252902984619141E-9</v>
      </c>
      <c r="I78" s="186"/>
      <c r="J78" s="186"/>
      <c r="K78" s="186"/>
      <c r="L78" s="186">
        <f>SUM(2060656.05-2060634.05)</f>
        <v>22</v>
      </c>
      <c r="M78" s="186"/>
      <c r="N78" s="186"/>
      <c r="O78" s="183"/>
      <c r="P78" s="186"/>
      <c r="Q78" s="125"/>
      <c r="R78" s="125"/>
      <c r="S78" s="186"/>
    </row>
    <row r="79" spans="1:22" s="126" customFormat="1" ht="18" customHeight="1">
      <c r="A79" s="31"/>
      <c r="B79" s="31"/>
      <c r="C79" s="31"/>
      <c r="D79" s="31"/>
      <c r="E79" s="31"/>
      <c r="F79" s="125"/>
      <c r="G79" s="127"/>
      <c r="H79" s="186"/>
      <c r="I79" s="186">
        <f>SUM(D77-G77)</f>
        <v>3.7252902984619141E-9</v>
      </c>
      <c r="J79" s="186"/>
      <c r="K79" s="186"/>
      <c r="L79" s="186"/>
      <c r="M79" s="186"/>
      <c r="N79" s="186"/>
      <c r="O79" s="183"/>
      <c r="P79" s="186"/>
      <c r="Q79" s="125"/>
      <c r="R79" s="125"/>
      <c r="S79" s="186"/>
    </row>
    <row r="80" spans="1:22" s="126" customFormat="1" ht="18" customHeight="1">
      <c r="A80" s="31"/>
      <c r="B80" s="31"/>
      <c r="C80" s="31"/>
      <c r="D80" s="31"/>
      <c r="E80" s="31"/>
      <c r="F80" s="125" t="s">
        <v>16</v>
      </c>
      <c r="G80" s="31"/>
      <c r="H80" s="186">
        <v>139850</v>
      </c>
      <c r="I80" s="186" t="s">
        <v>218</v>
      </c>
      <c r="J80" s="186"/>
      <c r="K80" s="186"/>
      <c r="L80" s="186"/>
      <c r="M80" s="186"/>
      <c r="N80" s="186"/>
      <c r="O80" s="183"/>
      <c r="P80" s="186"/>
      <c r="Q80" s="125"/>
      <c r="R80" s="125"/>
      <c r="S80" s="186"/>
    </row>
    <row r="81" spans="7:15">
      <c r="H81" s="30">
        <v>12149</v>
      </c>
      <c r="I81" s="30" t="s">
        <v>217</v>
      </c>
      <c r="O81" s="186"/>
    </row>
    <row r="82" spans="7:15">
      <c r="H82" s="30">
        <f>SUM(H80-H81)</f>
        <v>127701</v>
      </c>
      <c r="O82" s="186"/>
    </row>
    <row r="83" spans="7:15">
      <c r="G83" s="195"/>
      <c r="O83" s="186"/>
    </row>
  </sheetData>
  <mergeCells count="7">
    <mergeCell ref="A41:D41"/>
    <mergeCell ref="A1:G1"/>
    <mergeCell ref="A2:G2"/>
    <mergeCell ref="A3:G3"/>
    <mergeCell ref="A4:G4"/>
    <mergeCell ref="A5:G5"/>
    <mergeCell ref="A6:D6"/>
  </mergeCells>
  <pageMargins left="0.48" right="0.19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opLeftCell="A40" zoomScaleNormal="100" workbookViewId="0">
      <selection activeCell="D56" sqref="D56"/>
    </sheetView>
  </sheetViews>
  <sheetFormatPr defaultRowHeight="17.25"/>
  <cols>
    <col min="1" max="1" width="41.25" style="10" customWidth="1"/>
    <col min="2" max="2" width="13.625" style="10" customWidth="1"/>
    <col min="3" max="3" width="12.625" style="10" customWidth="1"/>
    <col min="4" max="4" width="12.375" style="10" customWidth="1"/>
    <col min="5" max="5" width="12.875" style="10" customWidth="1"/>
    <col min="6" max="16384" width="9" style="10"/>
  </cols>
  <sheetData>
    <row r="1" spans="1:8" s="1" customFormat="1" ht="27" customHeight="1">
      <c r="A1" s="284" t="s">
        <v>208</v>
      </c>
      <c r="B1" s="284"/>
      <c r="C1" s="284"/>
      <c r="D1" s="284"/>
      <c r="E1" s="284"/>
    </row>
    <row r="2" spans="1:8" s="1" customFormat="1" ht="24">
      <c r="A2" s="284" t="s">
        <v>209</v>
      </c>
      <c r="B2" s="284"/>
      <c r="C2" s="284"/>
      <c r="D2" s="284"/>
      <c r="E2" s="284"/>
    </row>
    <row r="3" spans="1:8" s="172" customFormat="1" ht="24">
      <c r="A3" s="285" t="s">
        <v>288</v>
      </c>
      <c r="B3" s="285"/>
      <c r="C3" s="285"/>
      <c r="D3" s="285"/>
      <c r="E3" s="285"/>
    </row>
    <row r="4" spans="1:8" ht="24.75" thickBot="1">
      <c r="A4" s="171" t="s">
        <v>210</v>
      </c>
      <c r="B4" s="2"/>
      <c r="C4" s="1"/>
      <c r="D4" s="2"/>
    </row>
    <row r="5" spans="1:8" ht="24.75" thickBot="1">
      <c r="A5" s="3" t="s">
        <v>19</v>
      </c>
      <c r="B5" s="3" t="s">
        <v>20</v>
      </c>
      <c r="C5" s="187" t="s">
        <v>21</v>
      </c>
      <c r="D5" s="188" t="s">
        <v>22</v>
      </c>
      <c r="E5" s="275" t="s">
        <v>23</v>
      </c>
    </row>
    <row r="6" spans="1:8" ht="24">
      <c r="A6" s="231" t="s">
        <v>176</v>
      </c>
      <c r="B6" s="4">
        <v>355030</v>
      </c>
      <c r="C6" s="5">
        <v>0</v>
      </c>
      <c r="D6" s="5">
        <v>0</v>
      </c>
      <c r="E6" s="4">
        <f>SUM(B6+C6-D6)</f>
        <v>355030</v>
      </c>
    </row>
    <row r="7" spans="1:8" ht="24">
      <c r="A7" s="7" t="s">
        <v>24</v>
      </c>
      <c r="B7" s="262">
        <v>9537.7199999999993</v>
      </c>
      <c r="C7" s="5">
        <v>0</v>
      </c>
      <c r="D7" s="6">
        <v>0</v>
      </c>
      <c r="E7" s="4">
        <f>SUM(B7+C7-D7)</f>
        <v>9537.7199999999993</v>
      </c>
    </row>
    <row r="8" spans="1:8" ht="24">
      <c r="A8" s="7" t="s">
        <v>25</v>
      </c>
      <c r="B8" s="4">
        <v>5150.41</v>
      </c>
      <c r="C8" s="5"/>
      <c r="D8" s="6"/>
      <c r="E8" s="4">
        <f t="shared" ref="E8:E17" si="0">SUM(B8+C8-D8)</f>
        <v>5150.41</v>
      </c>
    </row>
    <row r="9" spans="1:8" ht="24">
      <c r="A9" s="7" t="s">
        <v>26</v>
      </c>
      <c r="B9" s="4">
        <v>20143.87</v>
      </c>
      <c r="C9" s="5">
        <v>6417.18</v>
      </c>
      <c r="D9" s="5">
        <v>20143.87</v>
      </c>
      <c r="E9" s="4">
        <f t="shared" si="0"/>
        <v>6417.18</v>
      </c>
      <c r="G9" s="10">
        <f>SUM(350190+13609.65+2400+5150.41+1050+2314.76)+404220.93</f>
        <v>778935.75</v>
      </c>
    </row>
    <row r="10" spans="1:8" ht="24">
      <c r="A10" s="7" t="s">
        <v>27</v>
      </c>
      <c r="B10" s="4">
        <v>624929.21</v>
      </c>
      <c r="C10" s="5">
        <v>0</v>
      </c>
      <c r="D10" s="6">
        <v>0</v>
      </c>
      <c r="E10" s="4">
        <f t="shared" si="0"/>
        <v>624929.21</v>
      </c>
    </row>
    <row r="11" spans="1:8" ht="24">
      <c r="A11" s="232" t="s">
        <v>292</v>
      </c>
      <c r="B11" s="4">
        <v>12976</v>
      </c>
      <c r="C11" s="5">
        <v>0</v>
      </c>
      <c r="D11" s="6">
        <v>0</v>
      </c>
      <c r="E11" s="4">
        <f t="shared" si="0"/>
        <v>12976</v>
      </c>
      <c r="G11" s="10">
        <v>12976</v>
      </c>
    </row>
    <row r="12" spans="1:8" ht="24">
      <c r="A12" s="233" t="s">
        <v>219</v>
      </c>
      <c r="B12" s="4">
        <v>115232</v>
      </c>
      <c r="C12" s="5">
        <v>0</v>
      </c>
      <c r="D12" s="6">
        <v>0</v>
      </c>
      <c r="E12" s="4">
        <f>SUM(B12+C12-D12)</f>
        <v>115232</v>
      </c>
      <c r="G12" s="10">
        <v>115232</v>
      </c>
      <c r="H12" s="10">
        <f>SUM(G11+G12)</f>
        <v>128208</v>
      </c>
    </row>
    <row r="13" spans="1:8" ht="24">
      <c r="A13" s="7" t="s">
        <v>168</v>
      </c>
      <c r="B13" s="4">
        <v>0</v>
      </c>
      <c r="C13" s="5"/>
      <c r="D13" s="6"/>
      <c r="E13" s="4">
        <f t="shared" si="0"/>
        <v>0</v>
      </c>
      <c r="G13" s="10" t="s">
        <v>16</v>
      </c>
    </row>
    <row r="14" spans="1:8" ht="24">
      <c r="A14" s="7" t="s">
        <v>215</v>
      </c>
      <c r="B14" s="4">
        <v>0</v>
      </c>
      <c r="C14" s="5">
        <v>0</v>
      </c>
      <c r="D14" s="5">
        <v>0</v>
      </c>
      <c r="E14" s="4">
        <f>SUM(B14+C14-D14)</f>
        <v>0</v>
      </c>
    </row>
    <row r="15" spans="1:8" ht="24">
      <c r="A15" s="7" t="s">
        <v>167</v>
      </c>
      <c r="B15" s="7">
        <v>0</v>
      </c>
      <c r="C15" s="5">
        <v>0</v>
      </c>
      <c r="D15" s="5">
        <v>0</v>
      </c>
      <c r="E15" s="191">
        <v>0</v>
      </c>
    </row>
    <row r="16" spans="1:8" ht="24">
      <c r="A16" s="7" t="s">
        <v>175</v>
      </c>
      <c r="B16" s="7">
        <v>0</v>
      </c>
      <c r="C16" s="5">
        <v>0</v>
      </c>
      <c r="D16" s="5">
        <v>0</v>
      </c>
      <c r="E16" s="191">
        <f t="shared" si="0"/>
        <v>0</v>
      </c>
    </row>
    <row r="17" spans="1:5" ht="24">
      <c r="A17" s="7" t="s">
        <v>104</v>
      </c>
      <c r="B17" s="190">
        <v>0</v>
      </c>
      <c r="C17" s="192">
        <v>9070</v>
      </c>
      <c r="D17" s="193">
        <v>9070</v>
      </c>
      <c r="E17" s="191">
        <f t="shared" si="0"/>
        <v>0</v>
      </c>
    </row>
    <row r="18" spans="1:5" ht="24.75" thickBot="1">
      <c r="A18" s="235" t="s">
        <v>28</v>
      </c>
      <c r="B18" s="8">
        <f>SUM(B6:B17)</f>
        <v>1142999.21</v>
      </c>
      <c r="C18" s="189">
        <f>SUM(C6:C17)</f>
        <v>15487.18</v>
      </c>
      <c r="D18" s="234">
        <f>SUM(D6:D17)</f>
        <v>29213.87</v>
      </c>
      <c r="E18" s="189">
        <f>SUM(E6:E17)</f>
        <v>1129272.52</v>
      </c>
    </row>
    <row r="19" spans="1:5" ht="24.75" thickTop="1">
      <c r="A19" s="243"/>
      <c r="B19" s="9"/>
      <c r="C19" s="9"/>
      <c r="D19" s="9"/>
      <c r="E19" s="9"/>
    </row>
    <row r="20" spans="1:5" ht="24">
      <c r="A20" s="243"/>
      <c r="B20" s="9"/>
      <c r="C20" s="9"/>
      <c r="D20" s="9"/>
      <c r="E20" s="9"/>
    </row>
    <row r="21" spans="1:5" ht="24">
      <c r="A21" s="243"/>
      <c r="B21" s="9"/>
      <c r="C21" s="9"/>
      <c r="D21" s="9"/>
      <c r="E21" s="9"/>
    </row>
    <row r="22" spans="1:5" ht="24">
      <c r="A22" s="243"/>
      <c r="B22" s="9"/>
      <c r="C22" s="9"/>
      <c r="D22" s="9"/>
      <c r="E22" s="9"/>
    </row>
    <row r="23" spans="1:5" ht="24">
      <c r="A23" s="243"/>
      <c r="B23" s="9"/>
      <c r="C23" s="9"/>
      <c r="D23" s="9"/>
      <c r="E23" s="9"/>
    </row>
    <row r="24" spans="1:5" ht="24">
      <c r="A24" s="243"/>
      <c r="B24" s="9"/>
      <c r="C24" s="9"/>
      <c r="D24" s="9"/>
      <c r="E24" s="9"/>
    </row>
    <row r="25" spans="1:5" ht="24">
      <c r="A25" s="243"/>
      <c r="B25" s="9"/>
      <c r="C25" s="9"/>
      <c r="D25" s="9"/>
      <c r="E25" s="9"/>
    </row>
    <row r="26" spans="1:5" ht="24">
      <c r="A26" s="243"/>
      <c r="B26" s="9"/>
      <c r="C26" s="9"/>
      <c r="D26" s="9"/>
      <c r="E26" s="9"/>
    </row>
    <row r="27" spans="1:5" ht="24">
      <c r="A27" s="243"/>
      <c r="B27" s="9"/>
      <c r="C27" s="9"/>
      <c r="D27" s="9"/>
      <c r="E27" s="9"/>
    </row>
    <row r="28" spans="1:5" ht="24">
      <c r="A28" s="243"/>
      <c r="B28" s="9"/>
      <c r="C28" s="9"/>
      <c r="D28" s="9"/>
      <c r="E28" s="9"/>
    </row>
    <row r="29" spans="1:5" ht="24">
      <c r="A29" s="243"/>
      <c r="B29" s="9"/>
      <c r="C29" s="9"/>
      <c r="D29" s="9"/>
      <c r="E29" s="9"/>
    </row>
    <row r="30" spans="1:5" ht="24">
      <c r="A30" s="243"/>
      <c r="B30" s="9"/>
      <c r="C30" s="9"/>
      <c r="D30" s="9"/>
      <c r="E30" s="9"/>
    </row>
    <row r="31" spans="1:5" ht="24">
      <c r="A31" s="284" t="s">
        <v>208</v>
      </c>
      <c r="B31" s="284"/>
      <c r="C31" s="284"/>
      <c r="D31" s="284"/>
      <c r="E31" s="284"/>
    </row>
    <row r="32" spans="1:5" ht="24">
      <c r="A32" s="284" t="s">
        <v>209</v>
      </c>
      <c r="B32" s="284"/>
      <c r="C32" s="284"/>
      <c r="D32" s="284"/>
      <c r="E32" s="284"/>
    </row>
    <row r="33" spans="1:6" ht="24">
      <c r="A33" s="285" t="s">
        <v>288</v>
      </c>
      <c r="B33" s="285"/>
      <c r="C33" s="285"/>
      <c r="D33" s="285"/>
      <c r="E33" s="285"/>
    </row>
    <row r="34" spans="1:6" ht="24">
      <c r="A34" s="9"/>
      <c r="B34" s="9"/>
      <c r="C34" s="9"/>
      <c r="D34" s="9"/>
      <c r="E34" s="9"/>
    </row>
    <row r="35" spans="1:6" ht="24.75" thickBot="1">
      <c r="A35" s="171" t="s">
        <v>259</v>
      </c>
      <c r="B35" s="2"/>
      <c r="C35" s="1"/>
      <c r="D35" s="2"/>
    </row>
    <row r="36" spans="1:6" ht="24.75" thickBot="1">
      <c r="A36" s="3" t="s">
        <v>19</v>
      </c>
      <c r="B36" s="201" t="s">
        <v>221</v>
      </c>
      <c r="C36" s="199" t="s">
        <v>222</v>
      </c>
      <c r="D36" s="200" t="s">
        <v>223</v>
      </c>
      <c r="E36" s="260" t="s">
        <v>224</v>
      </c>
    </row>
    <row r="37" spans="1:6" ht="24">
      <c r="A37" s="245" t="s">
        <v>264</v>
      </c>
      <c r="B37" s="237">
        <v>0</v>
      </c>
      <c r="C37" s="237">
        <v>0</v>
      </c>
      <c r="D37" s="237">
        <v>0</v>
      </c>
      <c r="E37" s="239">
        <f>SUM(B37-C37)</f>
        <v>0</v>
      </c>
    </row>
    <row r="38" spans="1:6" ht="24">
      <c r="A38" s="197" t="s">
        <v>9</v>
      </c>
      <c r="B38" s="237">
        <f>9000+9000+40600+7000+13000+7000+7000+7000+7000+80000+70200</f>
        <v>256800</v>
      </c>
      <c r="C38" s="237">
        <v>0</v>
      </c>
      <c r="D38" s="237">
        <f>9000+9000+40600+7000+13000+7000+7000+7000+7000+80000+70200</f>
        <v>256800</v>
      </c>
      <c r="E38" s="239">
        <f>SUM(B38-D38)</f>
        <v>0</v>
      </c>
    </row>
    <row r="39" spans="1:6" ht="24">
      <c r="A39" s="198" t="s">
        <v>10</v>
      </c>
      <c r="B39" s="236">
        <v>65654.100000000006</v>
      </c>
      <c r="C39" s="236">
        <v>0</v>
      </c>
      <c r="D39" s="236">
        <f>600+5993.6+6672.1</f>
        <v>13265.7</v>
      </c>
      <c r="E39" s="240">
        <f>SUM(B39-D39)</f>
        <v>52388.400000000009</v>
      </c>
    </row>
    <row r="40" spans="1:6" ht="24">
      <c r="A40" s="197" t="s">
        <v>13</v>
      </c>
      <c r="B40" s="236">
        <v>286500</v>
      </c>
      <c r="C40" s="238">
        <v>0</v>
      </c>
      <c r="D40" s="236">
        <v>286500</v>
      </c>
      <c r="E40" s="241">
        <f>SUM(B40-D40)</f>
        <v>0</v>
      </c>
    </row>
    <row r="41" spans="1:6" ht="24">
      <c r="A41" s="7"/>
      <c r="B41" s="7"/>
      <c r="C41" s="5"/>
      <c r="D41" s="5"/>
      <c r="E41" s="242"/>
    </row>
    <row r="42" spans="1:6" ht="24">
      <c r="A42" s="7"/>
      <c r="B42" s="190"/>
      <c r="C42" s="192"/>
      <c r="D42" s="193"/>
      <c r="E42" s="242"/>
    </row>
    <row r="43" spans="1:6" ht="24.75" thickBot="1">
      <c r="A43" s="235" t="s">
        <v>28</v>
      </c>
      <c r="B43" s="8">
        <f>SUM(B37:B42)</f>
        <v>608954.1</v>
      </c>
      <c r="C43" s="189">
        <f>SUM(C37:C42)</f>
        <v>0</v>
      </c>
      <c r="D43" s="234">
        <f>SUM(D37:D42)</f>
        <v>556565.69999999995</v>
      </c>
      <c r="E43" s="189">
        <f>SUM(E37:E42)</f>
        <v>52388.400000000009</v>
      </c>
      <c r="F43" s="10" t="s">
        <v>225</v>
      </c>
    </row>
    <row r="44" spans="1:6" ht="18" thickTop="1"/>
    <row r="45" spans="1:6" ht="24.75" thickBot="1">
      <c r="A45" s="171" t="s">
        <v>260</v>
      </c>
      <c r="B45" s="2"/>
      <c r="C45" s="1"/>
      <c r="D45" s="2"/>
    </row>
    <row r="46" spans="1:6" ht="24.75" thickBot="1">
      <c r="A46" s="3" t="s">
        <v>19</v>
      </c>
      <c r="B46" s="201" t="s">
        <v>221</v>
      </c>
      <c r="C46" s="199" t="s">
        <v>222</v>
      </c>
      <c r="D46" s="200" t="s">
        <v>223</v>
      </c>
      <c r="E46" s="260" t="s">
        <v>224</v>
      </c>
    </row>
    <row r="47" spans="1:6" ht="24">
      <c r="A47" s="245" t="s">
        <v>265</v>
      </c>
      <c r="B47" s="237"/>
      <c r="C47" s="237"/>
      <c r="D47" s="237"/>
      <c r="E47" s="239">
        <f>SUM(B47-C47)</f>
        <v>0</v>
      </c>
    </row>
    <row r="48" spans="1:6" ht="24">
      <c r="A48" s="198" t="s">
        <v>261</v>
      </c>
      <c r="B48" s="236">
        <v>1495000</v>
      </c>
      <c r="C48" s="236">
        <v>0</v>
      </c>
      <c r="D48" s="236">
        <v>1495000</v>
      </c>
      <c r="E48" s="239">
        <f>SUM(B48-D48)</f>
        <v>0</v>
      </c>
    </row>
    <row r="49" spans="1:5" ht="24">
      <c r="A49" s="244" t="s">
        <v>262</v>
      </c>
      <c r="B49" s="236">
        <v>498000</v>
      </c>
      <c r="C49" s="236">
        <v>0</v>
      </c>
      <c r="D49" s="236">
        <v>0</v>
      </c>
      <c r="E49" s="241">
        <f>SUM(B49-C49)</f>
        <v>498000</v>
      </c>
    </row>
    <row r="50" spans="1:5" ht="24">
      <c r="A50" s="244" t="s">
        <v>263</v>
      </c>
      <c r="B50" s="4">
        <v>158000</v>
      </c>
      <c r="C50" s="236">
        <v>0</v>
      </c>
      <c r="D50" s="236">
        <v>0</v>
      </c>
      <c r="E50" s="241">
        <f>SUM(B50-C50)</f>
        <v>158000</v>
      </c>
    </row>
    <row r="51" spans="1:5" ht="24">
      <c r="A51" s="7"/>
      <c r="B51" s="7"/>
      <c r="C51" s="5"/>
      <c r="D51" s="5"/>
      <c r="E51" s="242"/>
    </row>
    <row r="52" spans="1:5" ht="24">
      <c r="A52" s="7"/>
      <c r="B52" s="190"/>
      <c r="C52" s="192"/>
      <c r="D52" s="193"/>
      <c r="E52" s="242"/>
    </row>
    <row r="53" spans="1:5" ht="24.75" thickBot="1">
      <c r="A53" s="235" t="s">
        <v>28</v>
      </c>
      <c r="B53" s="8">
        <f>SUM(B47:B52)</f>
        <v>2151000</v>
      </c>
      <c r="C53" s="189">
        <f>SUM(C47:C52)</f>
        <v>0</v>
      </c>
      <c r="D53" s="234">
        <f>SUM(D47:D52)</f>
        <v>1495000</v>
      </c>
      <c r="E53" s="189">
        <f>SUM(E47:E52)</f>
        <v>656000</v>
      </c>
    </row>
    <row r="54" spans="1:5" ht="18" thickTop="1"/>
    <row r="64" spans="1:5" ht="24">
      <c r="A64" s="284" t="s">
        <v>208</v>
      </c>
      <c r="B64" s="284"/>
      <c r="C64" s="284"/>
      <c r="D64" s="284"/>
      <c r="E64" s="284"/>
    </row>
    <row r="65" spans="1:5" ht="24">
      <c r="A65" s="284" t="s">
        <v>209</v>
      </c>
      <c r="B65" s="284"/>
      <c r="C65" s="284"/>
      <c r="D65" s="284"/>
      <c r="E65" s="284"/>
    </row>
    <row r="66" spans="1:5" ht="24">
      <c r="A66" s="285" t="s">
        <v>288</v>
      </c>
      <c r="B66" s="285"/>
      <c r="C66" s="285"/>
      <c r="D66" s="285"/>
      <c r="E66" s="285"/>
    </row>
    <row r="67" spans="1:5" ht="24.75" thickBot="1">
      <c r="A67" s="171" t="s">
        <v>295</v>
      </c>
      <c r="B67" s="2"/>
      <c r="C67" s="1"/>
      <c r="D67" s="2"/>
    </row>
    <row r="68" spans="1:5" ht="24.75" thickBot="1">
      <c r="A68" s="3" t="s">
        <v>19</v>
      </c>
      <c r="B68" s="201" t="s">
        <v>221</v>
      </c>
      <c r="C68" s="199" t="s">
        <v>222</v>
      </c>
      <c r="D68" s="200" t="s">
        <v>223</v>
      </c>
      <c r="E68" s="260" t="s">
        <v>224</v>
      </c>
    </row>
    <row r="69" spans="1:5" ht="24">
      <c r="A69" s="245" t="s">
        <v>265</v>
      </c>
      <c r="B69" s="276"/>
      <c r="C69" s="237"/>
      <c r="D69" s="237"/>
      <c r="E69" s="239">
        <f>SUM(B69-C69)</f>
        <v>0</v>
      </c>
    </row>
    <row r="70" spans="1:5" ht="24">
      <c r="A70" s="198" t="s">
        <v>294</v>
      </c>
      <c r="B70" s="241">
        <v>149500</v>
      </c>
      <c r="C70" s="236">
        <v>149500</v>
      </c>
      <c r="D70" s="236">
        <v>0</v>
      </c>
      <c r="E70" s="240">
        <f>SUM(B70-C70)</f>
        <v>0</v>
      </c>
    </row>
    <row r="71" spans="1:5" ht="24">
      <c r="A71" s="244" t="s">
        <v>293</v>
      </c>
      <c r="B71" s="241">
        <v>499000</v>
      </c>
      <c r="C71" s="236">
        <v>0</v>
      </c>
      <c r="D71" s="236">
        <v>0</v>
      </c>
      <c r="E71" s="241">
        <f>SUM(B71-C71)</f>
        <v>499000</v>
      </c>
    </row>
    <row r="72" spans="1:5" ht="24">
      <c r="A72" s="244"/>
      <c r="B72" s="240"/>
      <c r="C72" s="236">
        <v>0</v>
      </c>
      <c r="D72" s="236">
        <v>0</v>
      </c>
      <c r="E72" s="241">
        <f>SUM(B72-C72)</f>
        <v>0</v>
      </c>
    </row>
    <row r="73" spans="1:5" ht="24">
      <c r="A73" s="7"/>
      <c r="B73" s="240"/>
      <c r="C73" s="5"/>
      <c r="D73" s="5"/>
      <c r="E73" s="242"/>
    </row>
    <row r="74" spans="1:5" ht="24">
      <c r="A74" s="7"/>
      <c r="B74" s="277"/>
      <c r="C74" s="192"/>
      <c r="D74" s="193"/>
      <c r="E74" s="242"/>
    </row>
    <row r="75" spans="1:5" ht="24.75" thickBot="1">
      <c r="A75" s="235" t="s">
        <v>28</v>
      </c>
      <c r="B75" s="8">
        <f>SUM(B69:B74)</f>
        <v>648500</v>
      </c>
      <c r="C75" s="189">
        <f>SUM(C69:C74)</f>
        <v>149500</v>
      </c>
      <c r="D75" s="234">
        <f>SUM(D69:D74)</f>
        <v>0</v>
      </c>
      <c r="E75" s="189">
        <f>SUM(E69:E74)</f>
        <v>499000</v>
      </c>
    </row>
    <row r="76" spans="1:5" ht="18" thickTop="1"/>
  </sheetData>
  <mergeCells count="9">
    <mergeCell ref="A64:E64"/>
    <mergeCell ref="A65:E65"/>
    <mergeCell ref="A66:E66"/>
    <mergeCell ref="A1:E1"/>
    <mergeCell ref="A2:E2"/>
    <mergeCell ref="A3:E3"/>
    <mergeCell ref="A31:E31"/>
    <mergeCell ref="A32:E32"/>
    <mergeCell ref="A33:E33"/>
  </mergeCells>
  <pageMargins left="0.3" right="0.1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C15" sqref="C15"/>
    </sheetView>
  </sheetViews>
  <sheetFormatPr defaultRowHeight="20.100000000000001" customHeight="1"/>
  <cols>
    <col min="1" max="1" width="44" style="138" customWidth="1"/>
    <col min="2" max="2" width="10.125" style="138" customWidth="1"/>
    <col min="3" max="3" width="13.75" style="138" customWidth="1"/>
    <col min="4" max="4" width="14.125" style="138" customWidth="1"/>
    <col min="5" max="5" width="14.375" style="138" customWidth="1"/>
    <col min="6" max="6" width="15.25" style="139" bestFit="1" customWidth="1"/>
    <col min="7" max="16384" width="9" style="138"/>
  </cols>
  <sheetData>
    <row r="1" spans="1:6" ht="21.95" customHeight="1">
      <c r="A1" s="286" t="s">
        <v>18</v>
      </c>
      <c r="B1" s="286"/>
      <c r="C1" s="286"/>
      <c r="D1" s="286"/>
    </row>
    <row r="2" spans="1:6" ht="21.95" customHeight="1">
      <c r="A2" s="287" t="s">
        <v>0</v>
      </c>
      <c r="B2" s="287"/>
      <c r="C2" s="287"/>
      <c r="D2" s="287"/>
    </row>
    <row r="3" spans="1:6" ht="21.95" customHeight="1">
      <c r="A3" s="287" t="s">
        <v>247</v>
      </c>
      <c r="B3" s="287"/>
      <c r="C3" s="287"/>
      <c r="D3" s="287"/>
    </row>
    <row r="4" spans="1:6" ht="21.95" customHeight="1">
      <c r="A4" s="288" t="s">
        <v>297</v>
      </c>
      <c r="B4" s="288"/>
      <c r="C4" s="288"/>
      <c r="D4" s="288"/>
    </row>
    <row r="5" spans="1:6" ht="20.100000000000001" customHeight="1">
      <c r="A5" s="140" t="s">
        <v>1</v>
      </c>
      <c r="B5" s="140" t="s">
        <v>2</v>
      </c>
      <c r="C5" s="140" t="s">
        <v>3</v>
      </c>
      <c r="D5" s="140" t="s">
        <v>4</v>
      </c>
    </row>
    <row r="6" spans="1:6" ht="20.100000000000001" customHeight="1">
      <c r="A6" s="141" t="s">
        <v>5</v>
      </c>
      <c r="B6" s="142" t="s">
        <v>180</v>
      </c>
      <c r="C6" s="143">
        <v>0</v>
      </c>
      <c r="D6" s="144"/>
      <c r="E6" s="145"/>
    </row>
    <row r="7" spans="1:6" ht="20.100000000000001" customHeight="1">
      <c r="A7" s="146" t="s">
        <v>270</v>
      </c>
      <c r="B7" s="147" t="s">
        <v>134</v>
      </c>
      <c r="C7" s="257">
        <f>4177053.24+221739.95-93000+248513.5-92200+166521.4-91400</f>
        <v>4537228.0900000008</v>
      </c>
      <c r="D7" s="148"/>
    </row>
    <row r="8" spans="1:6" ht="20.100000000000001" customHeight="1">
      <c r="A8" s="146" t="s">
        <v>271</v>
      </c>
      <c r="B8" s="147" t="s">
        <v>134</v>
      </c>
      <c r="C8" s="257">
        <f>624929.21</f>
        <v>624929.21</v>
      </c>
      <c r="D8" s="148"/>
      <c r="E8" s="149"/>
    </row>
    <row r="9" spans="1:6" ht="20.100000000000001" customHeight="1">
      <c r="A9" s="146" t="s">
        <v>272</v>
      </c>
      <c r="B9" s="147" t="s">
        <v>134</v>
      </c>
      <c r="C9" s="258">
        <f>8899043.27+1576406-2284346.04+6911153.7-4064215.1+4727287.14-2952809.78</f>
        <v>12812519.189999999</v>
      </c>
      <c r="D9" s="148"/>
      <c r="F9" s="139" t="e">
        <f>SUM(#REF!+#REF!+#REF!+#REF!)</f>
        <v>#REF!</v>
      </c>
    </row>
    <row r="10" spans="1:6" ht="20.100000000000001" customHeight="1">
      <c r="A10" s="146" t="s">
        <v>110</v>
      </c>
      <c r="B10" s="147" t="s">
        <v>135</v>
      </c>
      <c r="C10" s="258">
        <f>847937.43+75959.94+285929.88</f>
        <v>1209827.25</v>
      </c>
      <c r="D10" s="148"/>
    </row>
    <row r="11" spans="1:6" ht="20.100000000000001" customHeight="1">
      <c r="A11" s="146" t="s">
        <v>249</v>
      </c>
      <c r="B11" s="147" t="s">
        <v>133</v>
      </c>
      <c r="C11" s="143">
        <v>0</v>
      </c>
      <c r="D11" s="148"/>
    </row>
    <row r="12" spans="1:6" ht="20.100000000000001" customHeight="1">
      <c r="A12" s="146" t="s">
        <v>126</v>
      </c>
      <c r="B12" s="147" t="s">
        <v>137</v>
      </c>
      <c r="C12" s="143">
        <f>2151000-1495000</f>
        <v>656000</v>
      </c>
      <c r="D12" s="214"/>
    </row>
    <row r="13" spans="1:6" ht="20.100000000000001" customHeight="1">
      <c r="A13" s="146" t="s">
        <v>248</v>
      </c>
      <c r="B13" s="147" t="s">
        <v>226</v>
      </c>
      <c r="C13" s="258">
        <v>10017</v>
      </c>
      <c r="D13" s="148"/>
    </row>
    <row r="14" spans="1:6" ht="20.100000000000001" customHeight="1">
      <c r="A14" s="146" t="s">
        <v>241</v>
      </c>
      <c r="B14" s="147" t="s">
        <v>132</v>
      </c>
      <c r="C14" s="143">
        <f>350167+47212-42546+46678-40832-22788+30692</f>
        <v>368583</v>
      </c>
      <c r="D14" s="214"/>
    </row>
    <row r="15" spans="1:6" ht="20.100000000000001" customHeight="1">
      <c r="A15" s="146" t="s">
        <v>77</v>
      </c>
      <c r="B15" s="147" t="s">
        <v>138</v>
      </c>
      <c r="C15" s="143">
        <f>1000+32800+208200+559090+1211521.9</f>
        <v>2012611.9</v>
      </c>
      <c r="D15" s="148"/>
      <c r="E15" s="149"/>
    </row>
    <row r="16" spans="1:6" ht="20.100000000000001" customHeight="1">
      <c r="A16" s="146" t="s">
        <v>6</v>
      </c>
      <c r="B16" s="147" t="s">
        <v>139</v>
      </c>
      <c r="C16" s="143">
        <f>218720+218720+218720</f>
        <v>656160</v>
      </c>
      <c r="D16" s="148"/>
      <c r="E16" s="149"/>
    </row>
    <row r="17" spans="1:10" ht="20.100000000000001" customHeight="1">
      <c r="A17" s="146" t="s">
        <v>7</v>
      </c>
      <c r="B17" s="147" t="s">
        <v>140</v>
      </c>
      <c r="C17" s="143">
        <f>552429+543215+548215</f>
        <v>1643859</v>
      </c>
      <c r="D17" s="148"/>
      <c r="E17" s="149">
        <f>SUM(C17:C17)</f>
        <v>1643859</v>
      </c>
    </row>
    <row r="18" spans="1:10" ht="20.100000000000001" customHeight="1">
      <c r="A18" s="146" t="s">
        <v>8</v>
      </c>
      <c r="B18" s="147" t="s">
        <v>141</v>
      </c>
      <c r="C18" s="143">
        <f>3000+6000+21050</f>
        <v>30050</v>
      </c>
      <c r="D18" s="148"/>
      <c r="E18" s="145"/>
    </row>
    <row r="19" spans="1:10" ht="20.100000000000001" customHeight="1">
      <c r="A19" s="256" t="s">
        <v>9</v>
      </c>
      <c r="B19" s="147" t="s">
        <v>142</v>
      </c>
      <c r="C19" s="143">
        <f>56670.74+985105.5+258000+519050.5</f>
        <v>1818826.74</v>
      </c>
      <c r="D19" s="148"/>
      <c r="F19" s="139">
        <f>SUM(1239800+139500+2100+900)</f>
        <v>1382300</v>
      </c>
      <c r="J19" s="149" t="e">
        <f>SUM(#REF!)</f>
        <v>#REF!</v>
      </c>
    </row>
    <row r="20" spans="1:10" ht="20.100000000000001" customHeight="1">
      <c r="A20" s="146" t="s">
        <v>10</v>
      </c>
      <c r="B20" s="147" t="s">
        <v>143</v>
      </c>
      <c r="C20" s="143">
        <f>13780.1+8200.35</f>
        <v>21980.45</v>
      </c>
      <c r="D20" s="148"/>
      <c r="E20" s="149"/>
      <c r="F20" s="139">
        <f>405400+43000+2100+900</f>
        <v>451400</v>
      </c>
    </row>
    <row r="21" spans="1:10" ht="20.100000000000001" customHeight="1">
      <c r="A21" s="146" t="s">
        <v>11</v>
      </c>
      <c r="B21" s="147" t="s">
        <v>144</v>
      </c>
      <c r="C21" s="143">
        <f>57592.31+47855.81+59925.34</f>
        <v>165373.46</v>
      </c>
      <c r="D21" s="148"/>
      <c r="F21" s="139">
        <f>SUM(F19-F20)</f>
        <v>930900</v>
      </c>
      <c r="I21" s="145"/>
    </row>
    <row r="22" spans="1:10" ht="20.100000000000001" customHeight="1">
      <c r="A22" s="146" t="s">
        <v>12</v>
      </c>
      <c r="B22" s="147" t="s">
        <v>181</v>
      </c>
      <c r="C22" s="143">
        <f>100000+306000</f>
        <v>406000</v>
      </c>
      <c r="D22" s="148"/>
      <c r="F22" s="139" t="e">
        <f>SUM(#REF!-F21)</f>
        <v>#REF!</v>
      </c>
    </row>
    <row r="23" spans="1:10" ht="20.100000000000001" customHeight="1">
      <c r="A23" s="146" t="s">
        <v>13</v>
      </c>
      <c r="B23" s="147" t="s">
        <v>145</v>
      </c>
      <c r="C23" s="143">
        <v>0</v>
      </c>
      <c r="D23" s="148"/>
    </row>
    <row r="24" spans="1:10" ht="20.100000000000001" customHeight="1">
      <c r="A24" s="146" t="s">
        <v>14</v>
      </c>
      <c r="B24" s="147" t="s">
        <v>146</v>
      </c>
      <c r="C24" s="143">
        <v>0</v>
      </c>
      <c r="D24" s="148"/>
      <c r="F24" s="139">
        <f>800+1500+800+1500</f>
        <v>4600</v>
      </c>
    </row>
    <row r="25" spans="1:10" ht="20.100000000000001" customHeight="1">
      <c r="A25" s="146" t="s">
        <v>277</v>
      </c>
      <c r="B25" s="147" t="s">
        <v>146</v>
      </c>
      <c r="C25" s="143">
        <v>0</v>
      </c>
      <c r="D25" s="148"/>
    </row>
    <row r="26" spans="1:10" ht="20.100000000000001" customHeight="1">
      <c r="A26" s="146" t="s">
        <v>220</v>
      </c>
      <c r="B26" s="147" t="s">
        <v>147</v>
      </c>
      <c r="C26" s="143">
        <v>0</v>
      </c>
      <c r="D26" s="150">
        <f>2151000+52388.4-1495000</f>
        <v>708388.39999999991</v>
      </c>
    </row>
    <row r="27" spans="1:10" ht="20.100000000000001" customHeight="1">
      <c r="A27" s="146" t="s">
        <v>269</v>
      </c>
      <c r="B27" s="147" t="s">
        <v>150</v>
      </c>
      <c r="C27" s="143"/>
      <c r="D27" s="143">
        <f>1460015.31+14368.68-341865.97+97973.87-87492.68+15487.18-29213.87</f>
        <v>1129272.52</v>
      </c>
    </row>
    <row r="28" spans="1:10" ht="20.100000000000001" customHeight="1">
      <c r="A28" s="249" t="s">
        <v>127</v>
      </c>
      <c r="B28" s="147" t="s">
        <v>148</v>
      </c>
      <c r="C28" s="143">
        <v>0</v>
      </c>
      <c r="D28" s="150">
        <v>0</v>
      </c>
    </row>
    <row r="29" spans="1:10" ht="20.100000000000001" customHeight="1">
      <c r="A29" s="146" t="s">
        <v>102</v>
      </c>
      <c r="B29" s="147" t="s">
        <v>131</v>
      </c>
      <c r="C29" s="151">
        <v>0</v>
      </c>
      <c r="D29" s="143">
        <f>6247257.43+1000+1000+1000</f>
        <v>6250257.4299999997</v>
      </c>
    </row>
    <row r="30" spans="1:10" ht="20.100000000000001" customHeight="1">
      <c r="A30" s="146" t="s">
        <v>103</v>
      </c>
      <c r="B30" s="147" t="s">
        <v>149</v>
      </c>
      <c r="C30" s="152">
        <v>0</v>
      </c>
      <c r="D30" s="143">
        <f>6846528.3-149500</f>
        <v>6697028.2999999998</v>
      </c>
      <c r="E30" s="153"/>
      <c r="F30" s="139" t="e">
        <f>SUM(#REF!)</f>
        <v>#REF!</v>
      </c>
    </row>
    <row r="31" spans="1:10" ht="21.95" customHeight="1">
      <c r="A31" s="146" t="s">
        <v>268</v>
      </c>
      <c r="B31" s="147" t="s">
        <v>130</v>
      </c>
      <c r="C31" s="152">
        <v>0</v>
      </c>
      <c r="D31" s="143">
        <f>128292.9+7148313.2+4912412.54</f>
        <v>12189018.640000001</v>
      </c>
    </row>
    <row r="32" spans="1:10" ht="20.100000000000001" customHeight="1" thickBot="1">
      <c r="A32" s="289" t="s">
        <v>17</v>
      </c>
      <c r="B32" s="290"/>
      <c r="C32" s="161">
        <f>SUM(C6:C31)</f>
        <v>26973965.289999999</v>
      </c>
      <c r="D32" s="161">
        <f>SUM(D6:D31)</f>
        <v>26973965.289999999</v>
      </c>
    </row>
    <row r="33" spans="1:4" ht="20.100000000000001" customHeight="1" thickTop="1">
      <c r="A33" s="154"/>
      <c r="B33" s="155"/>
      <c r="C33" s="156"/>
      <c r="D33" s="156"/>
    </row>
    <row r="34" spans="1:4" ht="20.100000000000001" customHeight="1">
      <c r="A34" s="154"/>
      <c r="B34" s="155"/>
      <c r="C34" s="156"/>
      <c r="D34" s="156"/>
    </row>
    <row r="35" spans="1:4" ht="20.100000000000001" customHeight="1">
      <c r="A35" s="154"/>
      <c r="B35" s="155"/>
      <c r="C35" s="156"/>
      <c r="D35" s="156"/>
    </row>
    <row r="36" spans="1:4" ht="20.100000000000001" customHeight="1">
      <c r="A36" s="154"/>
      <c r="B36" s="155"/>
      <c r="C36" s="156"/>
      <c r="D36" s="156"/>
    </row>
    <row r="37" spans="1:4" ht="20.100000000000001" customHeight="1">
      <c r="A37" s="154"/>
      <c r="B37" s="155"/>
      <c r="C37" s="156"/>
      <c r="D37" s="156"/>
    </row>
    <row r="38" spans="1:4" ht="20.100000000000001" customHeight="1">
      <c r="A38" s="154"/>
      <c r="B38" s="155"/>
      <c r="C38" s="156"/>
      <c r="D38" s="156"/>
    </row>
    <row r="39" spans="1:4" ht="20.100000000000001" customHeight="1">
      <c r="A39" s="154"/>
      <c r="B39" s="155"/>
      <c r="C39" s="156"/>
      <c r="D39" s="156">
        <f>SUM(D32-C32)</f>
        <v>0</v>
      </c>
    </row>
    <row r="40" spans="1:4" ht="20.100000000000001" customHeight="1">
      <c r="A40" s="154"/>
      <c r="B40" s="155"/>
      <c r="C40" s="156"/>
      <c r="D40" s="156"/>
    </row>
    <row r="41" spans="1:4" ht="20.100000000000001" customHeight="1">
      <c r="A41" s="154"/>
      <c r="B41" s="155"/>
      <c r="C41" s="156"/>
      <c r="D41" s="156"/>
    </row>
    <row r="42" spans="1:4" ht="20.100000000000001" customHeight="1">
      <c r="A42" s="154"/>
      <c r="B42" s="155"/>
      <c r="C42" s="156"/>
      <c r="D42" s="156"/>
    </row>
    <row r="43" spans="1:4" ht="20.100000000000001" customHeight="1">
      <c r="A43" s="154"/>
      <c r="B43" s="155"/>
      <c r="C43" s="156"/>
      <c r="D43" s="156"/>
    </row>
    <row r="44" spans="1:4" ht="20.100000000000001" customHeight="1">
      <c r="A44" s="154"/>
      <c r="B44" s="155"/>
      <c r="C44" s="156"/>
      <c r="D44" s="156"/>
    </row>
    <row r="45" spans="1:4" ht="20.100000000000001" customHeight="1">
      <c r="C45" s="145"/>
    </row>
    <row r="46" spans="1:4" ht="20.100000000000001" customHeight="1">
      <c r="C46" s="145"/>
      <c r="D46" s="145"/>
    </row>
  </sheetData>
  <mergeCells count="5">
    <mergeCell ref="A1:D1"/>
    <mergeCell ref="A2:D2"/>
    <mergeCell ref="A3:D3"/>
    <mergeCell ref="A4:D4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topLeftCell="A43" zoomScaleNormal="100" workbookViewId="0">
      <selection activeCell="C75" sqref="C75"/>
    </sheetView>
  </sheetViews>
  <sheetFormatPr defaultRowHeight="20.100000000000001" customHeight="1"/>
  <cols>
    <col min="1" max="1" width="48.375" style="118" customWidth="1"/>
    <col min="2" max="2" width="9.25" style="64" customWidth="1"/>
    <col min="3" max="3" width="13.75" style="119" customWidth="1"/>
    <col min="4" max="4" width="12.5" style="213" customWidth="1"/>
    <col min="5" max="5" width="11.125" style="213" customWidth="1"/>
    <col min="6" max="6" width="9" style="64"/>
    <col min="7" max="7" width="10.375" style="64" bestFit="1" customWidth="1"/>
    <col min="8" max="16384" width="9" style="64"/>
  </cols>
  <sheetData>
    <row r="1" spans="1:7" ht="31.5" customHeight="1">
      <c r="A1" s="291" t="s">
        <v>101</v>
      </c>
      <c r="B1" s="291"/>
      <c r="C1" s="291"/>
      <c r="D1" s="291"/>
      <c r="E1" s="291"/>
    </row>
    <row r="2" spans="1:7" ht="24" customHeight="1">
      <c r="A2" s="292" t="s">
        <v>80</v>
      </c>
      <c r="B2" s="292"/>
      <c r="C2" s="292"/>
      <c r="D2" s="292"/>
      <c r="E2" s="292"/>
    </row>
    <row r="3" spans="1:7" ht="24" customHeight="1">
      <c r="A3" s="292" t="s">
        <v>212</v>
      </c>
      <c r="B3" s="292"/>
      <c r="C3" s="292"/>
      <c r="D3" s="292"/>
      <c r="E3" s="292"/>
    </row>
    <row r="4" spans="1:7" ht="24" customHeight="1">
      <c r="A4" s="292" t="s">
        <v>288</v>
      </c>
      <c r="B4" s="292"/>
      <c r="C4" s="292"/>
      <c r="D4" s="292"/>
      <c r="E4" s="292"/>
    </row>
    <row r="5" spans="1:7" ht="24" customHeight="1">
      <c r="A5" s="65"/>
      <c r="B5" s="65"/>
      <c r="C5" s="65"/>
      <c r="D5" s="65"/>
      <c r="E5" s="173" t="s">
        <v>211</v>
      </c>
    </row>
    <row r="6" spans="1:7" ht="20.100000000000001" customHeight="1">
      <c r="A6" s="66"/>
      <c r="B6" s="67" t="s">
        <v>2</v>
      </c>
      <c r="C6" s="68" t="s">
        <v>32</v>
      </c>
      <c r="D6" s="203" t="s">
        <v>81</v>
      </c>
      <c r="E6" s="69" t="s">
        <v>82</v>
      </c>
    </row>
    <row r="7" spans="1:7" ht="21.95" customHeight="1">
      <c r="A7" s="70" t="s">
        <v>182</v>
      </c>
      <c r="B7" s="71">
        <v>41000000</v>
      </c>
      <c r="C7" s="72"/>
      <c r="D7" s="204"/>
      <c r="E7" s="73"/>
    </row>
    <row r="8" spans="1:7" ht="21.95" customHeight="1">
      <c r="A8" s="74" t="s">
        <v>83</v>
      </c>
      <c r="B8" s="75" t="s">
        <v>151</v>
      </c>
      <c r="C8" s="72"/>
      <c r="D8" s="204"/>
      <c r="E8" s="73"/>
    </row>
    <row r="9" spans="1:7" ht="21.95" customHeight="1">
      <c r="A9" s="76" t="s">
        <v>84</v>
      </c>
      <c r="B9" s="75" t="s">
        <v>183</v>
      </c>
      <c r="C9" s="77">
        <v>493000</v>
      </c>
      <c r="D9" s="205">
        <v>0</v>
      </c>
      <c r="E9" s="78">
        <v>0</v>
      </c>
      <c r="G9" s="79">
        <f>SUM(C9-D9)</f>
        <v>493000</v>
      </c>
    </row>
    <row r="10" spans="1:7" ht="21.95" customHeight="1">
      <c r="A10" s="76" t="s">
        <v>85</v>
      </c>
      <c r="B10" s="75" t="s">
        <v>184</v>
      </c>
      <c r="C10" s="77">
        <v>40000</v>
      </c>
      <c r="D10" s="205">
        <v>0</v>
      </c>
      <c r="E10" s="78">
        <v>0</v>
      </c>
      <c r="G10" s="79">
        <f>SUM(C10-D10)</f>
        <v>40000</v>
      </c>
    </row>
    <row r="11" spans="1:7" ht="21.95" customHeight="1">
      <c r="A11" s="76" t="s">
        <v>86</v>
      </c>
      <c r="B11" s="80" t="s">
        <v>185</v>
      </c>
      <c r="C11" s="81">
        <v>25600</v>
      </c>
      <c r="D11" s="205">
        <v>0</v>
      </c>
      <c r="E11" s="78">
        <v>0</v>
      </c>
      <c r="G11" s="79">
        <f>SUM(C11-D11)</f>
        <v>25600</v>
      </c>
    </row>
    <row r="12" spans="1:7" ht="21.95" customHeight="1">
      <c r="A12" s="82" t="s">
        <v>17</v>
      </c>
      <c r="B12" s="83"/>
      <c r="C12" s="84">
        <f>SUM(C9:C11)</f>
        <v>558600</v>
      </c>
      <c r="D12" s="206">
        <f>SUM(D9:D11)</f>
        <v>0</v>
      </c>
      <c r="E12" s="85">
        <f>SUM(E9:E11)</f>
        <v>0</v>
      </c>
    </row>
    <row r="13" spans="1:7" ht="21.95" customHeight="1">
      <c r="A13" s="74" t="s">
        <v>87</v>
      </c>
      <c r="B13" s="83">
        <v>41200000</v>
      </c>
      <c r="C13" s="86"/>
      <c r="D13" s="205"/>
      <c r="E13" s="78"/>
    </row>
    <row r="14" spans="1:7" ht="21.95" customHeight="1">
      <c r="A14" s="76" t="s">
        <v>253</v>
      </c>
      <c r="B14" s="75" t="s">
        <v>188</v>
      </c>
      <c r="C14" s="77">
        <v>600</v>
      </c>
      <c r="D14" s="78">
        <v>19.399999999999999</v>
      </c>
      <c r="E14" s="78">
        <v>0</v>
      </c>
      <c r="G14" s="87"/>
    </row>
    <row r="15" spans="1:7" ht="21.95" customHeight="1">
      <c r="A15" s="76" t="s">
        <v>252</v>
      </c>
      <c r="B15" s="75" t="s">
        <v>187</v>
      </c>
      <c r="C15" s="77">
        <v>1500</v>
      </c>
      <c r="D15" s="78">
        <v>42.5</v>
      </c>
      <c r="E15" s="78">
        <v>0</v>
      </c>
      <c r="G15" s="87">
        <f>SUM(C15-D15)</f>
        <v>1457.5</v>
      </c>
    </row>
    <row r="16" spans="1:7" ht="21.95" customHeight="1">
      <c r="A16" s="76" t="s">
        <v>250</v>
      </c>
      <c r="B16" s="75" t="s">
        <v>186</v>
      </c>
      <c r="C16" s="77">
        <v>74000</v>
      </c>
      <c r="D16" s="78">
        <v>14000</v>
      </c>
      <c r="E16" s="78">
        <v>0</v>
      </c>
      <c r="G16" s="87">
        <f>SUM(C16-D16)</f>
        <v>60000</v>
      </c>
    </row>
    <row r="17" spans="1:7" ht="21.95" customHeight="1">
      <c r="A17" s="76" t="s">
        <v>193</v>
      </c>
      <c r="B17" s="75" t="s">
        <v>152</v>
      </c>
      <c r="C17" s="77">
        <v>25560</v>
      </c>
      <c r="D17" s="78">
        <v>0</v>
      </c>
      <c r="E17" s="78">
        <v>0</v>
      </c>
      <c r="G17" s="87"/>
    </row>
    <row r="18" spans="1:7" ht="21.95" customHeight="1">
      <c r="A18" s="76" t="s">
        <v>251</v>
      </c>
      <c r="B18" s="75" t="s">
        <v>189</v>
      </c>
      <c r="C18" s="77">
        <v>550</v>
      </c>
      <c r="D18" s="78">
        <f>150+50</f>
        <v>200</v>
      </c>
      <c r="E18" s="78">
        <v>50</v>
      </c>
      <c r="G18" s="87">
        <f t="shared" ref="G18:G25" si="0">SUM(C18-D18)</f>
        <v>350</v>
      </c>
    </row>
    <row r="19" spans="1:7" ht="21.95" customHeight="1">
      <c r="A19" s="76" t="s">
        <v>194</v>
      </c>
      <c r="B19" s="75" t="s">
        <v>190</v>
      </c>
      <c r="C19" s="77">
        <v>2000000</v>
      </c>
      <c r="D19" s="78">
        <f>175076.65+140126.25</f>
        <v>315202.90000000002</v>
      </c>
      <c r="E19" s="78">
        <v>140126.25</v>
      </c>
      <c r="G19" s="87"/>
    </row>
    <row r="20" spans="1:7" ht="21.95" customHeight="1">
      <c r="A20" s="76" t="s">
        <v>195</v>
      </c>
      <c r="B20" s="71">
        <v>41219999</v>
      </c>
      <c r="C20" s="77">
        <v>19000</v>
      </c>
      <c r="D20" s="88">
        <f>320+580+2520</f>
        <v>3420</v>
      </c>
      <c r="E20" s="88">
        <v>2520</v>
      </c>
      <c r="G20" s="87">
        <f t="shared" si="0"/>
        <v>15580</v>
      </c>
    </row>
    <row r="21" spans="1:7" ht="21.95" customHeight="1">
      <c r="A21" s="76" t="s">
        <v>196</v>
      </c>
      <c r="B21" s="75" t="s">
        <v>191</v>
      </c>
      <c r="C21" s="77">
        <v>5000</v>
      </c>
      <c r="D21" s="88">
        <f>200+200</f>
        <v>400</v>
      </c>
      <c r="E21" s="88">
        <v>0</v>
      </c>
      <c r="G21" s="87">
        <f t="shared" si="0"/>
        <v>4600</v>
      </c>
    </row>
    <row r="22" spans="1:7" ht="21.95" customHeight="1">
      <c r="A22" s="76" t="s">
        <v>197</v>
      </c>
      <c r="B22" s="71">
        <v>41220009</v>
      </c>
      <c r="C22" s="89">
        <v>1500</v>
      </c>
      <c r="D22" s="88">
        <f>75.9+62.35+37.15</f>
        <v>175.4</v>
      </c>
      <c r="E22" s="88">
        <v>37.15</v>
      </c>
      <c r="G22" s="87">
        <f t="shared" si="0"/>
        <v>1324.6</v>
      </c>
    </row>
    <row r="23" spans="1:7" ht="21.95" customHeight="1">
      <c r="A23" s="76" t="s">
        <v>198</v>
      </c>
      <c r="B23" s="90">
        <v>41220010</v>
      </c>
      <c r="C23" s="77">
        <v>16000</v>
      </c>
      <c r="D23" s="78">
        <f>11700</f>
        <v>11700</v>
      </c>
      <c r="E23" s="78">
        <v>11700</v>
      </c>
      <c r="G23" s="87"/>
    </row>
    <row r="24" spans="1:7" ht="21.95" customHeight="1">
      <c r="A24" s="76" t="s">
        <v>129</v>
      </c>
      <c r="B24" s="75" t="s">
        <v>192</v>
      </c>
      <c r="C24" s="77">
        <v>200</v>
      </c>
      <c r="D24" s="78">
        <v>20</v>
      </c>
      <c r="E24" s="78">
        <v>0</v>
      </c>
      <c r="G24" s="87">
        <f>SUM(C24-D24)</f>
        <v>180</v>
      </c>
    </row>
    <row r="25" spans="1:7" ht="21.95" customHeight="1">
      <c r="A25" s="76" t="s">
        <v>199</v>
      </c>
      <c r="B25" s="80" t="s">
        <v>153</v>
      </c>
      <c r="C25" s="89">
        <v>1000</v>
      </c>
      <c r="D25" s="78">
        <v>0</v>
      </c>
      <c r="E25" s="78">
        <v>0</v>
      </c>
      <c r="G25" s="87">
        <f t="shared" si="0"/>
        <v>1000</v>
      </c>
    </row>
    <row r="26" spans="1:7" ht="21.95" customHeight="1">
      <c r="A26" s="82" t="s">
        <v>17</v>
      </c>
      <c r="B26" s="75"/>
      <c r="C26" s="91">
        <f>SUM(C14:C25)</f>
        <v>2144910</v>
      </c>
      <c r="D26" s="68">
        <f>SUM(D13:D25)</f>
        <v>345180.20000000007</v>
      </c>
      <c r="E26" s="85">
        <f>SUM(E14:E25)</f>
        <v>154433.4</v>
      </c>
    </row>
    <row r="27" spans="1:7" ht="21.95" customHeight="1">
      <c r="A27" s="74" t="s">
        <v>88</v>
      </c>
      <c r="B27" s="71">
        <v>41300000</v>
      </c>
      <c r="C27" s="72"/>
      <c r="D27" s="204"/>
      <c r="E27" s="73"/>
    </row>
    <row r="28" spans="1:7" s="177" customFormat="1" ht="21.95" customHeight="1">
      <c r="A28" s="76" t="s">
        <v>89</v>
      </c>
      <c r="B28" s="71">
        <v>41300003</v>
      </c>
      <c r="C28" s="77">
        <v>104000</v>
      </c>
      <c r="D28" s="92">
        <v>0</v>
      </c>
      <c r="E28" s="93">
        <v>0</v>
      </c>
      <c r="G28" s="194">
        <f>SUM(C28-D28)</f>
        <v>104000</v>
      </c>
    </row>
    <row r="29" spans="1:7" ht="21.95" customHeight="1">
      <c r="A29" s="76" t="s">
        <v>205</v>
      </c>
      <c r="B29" s="75" t="s">
        <v>154</v>
      </c>
      <c r="C29" s="77">
        <v>600000</v>
      </c>
      <c r="D29" s="205"/>
      <c r="E29" s="78">
        <v>0</v>
      </c>
      <c r="G29" s="79">
        <f>SUM(C29-D29)</f>
        <v>600000</v>
      </c>
    </row>
    <row r="30" spans="1:7" ht="21.95" customHeight="1">
      <c r="A30" s="82" t="s">
        <v>17</v>
      </c>
      <c r="B30" s="94"/>
      <c r="C30" s="84">
        <f>SUM(C28:C29)</f>
        <v>704000</v>
      </c>
      <c r="D30" s="206">
        <f>SUM(D28:D29)</f>
        <v>0</v>
      </c>
      <c r="E30" s="85">
        <f>SUM(E28:E29)</f>
        <v>0</v>
      </c>
    </row>
    <row r="31" spans="1:7" ht="21.95" customHeight="1">
      <c r="A31" s="74" t="s">
        <v>90</v>
      </c>
      <c r="B31" s="71">
        <v>41400000</v>
      </c>
      <c r="C31" s="95"/>
      <c r="D31" s="207"/>
      <c r="E31" s="268"/>
    </row>
    <row r="32" spans="1:7" ht="21.95" customHeight="1">
      <c r="A32" s="96" t="s">
        <v>204</v>
      </c>
      <c r="B32" s="71">
        <v>41400006</v>
      </c>
      <c r="C32" s="97">
        <v>350000</v>
      </c>
      <c r="D32" s="78">
        <f>47212+46678+30692</f>
        <v>124582</v>
      </c>
      <c r="E32" s="78">
        <v>30692</v>
      </c>
      <c r="G32" s="79">
        <f>SUM(C32-D32)</f>
        <v>225418</v>
      </c>
    </row>
    <row r="33" spans="1:7" ht="21.95" customHeight="1">
      <c r="A33" s="98" t="s">
        <v>17</v>
      </c>
      <c r="B33" s="99"/>
      <c r="C33" s="84">
        <f>SUM(C32)</f>
        <v>350000</v>
      </c>
      <c r="D33" s="68">
        <f>SUM(D31:D32)</f>
        <v>124582</v>
      </c>
      <c r="E33" s="85">
        <f>SUM(E31:E32)</f>
        <v>30692</v>
      </c>
    </row>
    <row r="34" spans="1:7" ht="19.5" customHeight="1">
      <c r="A34" s="65"/>
      <c r="B34" s="100"/>
      <c r="C34" s="101"/>
      <c r="D34" s="205"/>
      <c r="E34" s="211"/>
    </row>
    <row r="35" spans="1:7" ht="19.5" customHeight="1">
      <c r="A35" s="65"/>
      <c r="B35" s="100"/>
      <c r="C35" s="101"/>
      <c r="D35" s="205"/>
      <c r="E35" s="211"/>
    </row>
    <row r="36" spans="1:7" ht="19.5" customHeight="1">
      <c r="A36" s="65"/>
      <c r="B36" s="100"/>
      <c r="C36" s="101"/>
      <c r="D36" s="205"/>
      <c r="E36" s="162" t="s">
        <v>178</v>
      </c>
    </row>
    <row r="37" spans="1:7" ht="21.95" customHeight="1">
      <c r="A37" s="69" t="s">
        <v>19</v>
      </c>
      <c r="B37" s="67" t="s">
        <v>2</v>
      </c>
      <c r="C37" s="68" t="s">
        <v>32</v>
      </c>
      <c r="D37" s="203" t="s">
        <v>81</v>
      </c>
      <c r="E37" s="69" t="s">
        <v>82</v>
      </c>
    </row>
    <row r="38" spans="1:7" ht="21.95" customHeight="1">
      <c r="A38" s="74" t="s">
        <v>91</v>
      </c>
      <c r="B38" s="71">
        <v>41500000</v>
      </c>
      <c r="C38" s="72"/>
      <c r="D38" s="205"/>
      <c r="E38" s="269" t="s">
        <v>16</v>
      </c>
    </row>
    <row r="39" spans="1:7" ht="21.95" customHeight="1">
      <c r="A39" s="76" t="s">
        <v>256</v>
      </c>
      <c r="B39" s="75" t="s">
        <v>156</v>
      </c>
      <c r="C39" s="77">
        <v>500</v>
      </c>
      <c r="D39" s="93">
        <v>0</v>
      </c>
      <c r="E39" s="93">
        <v>0</v>
      </c>
    </row>
    <row r="40" spans="1:7" ht="21.95" customHeight="1">
      <c r="A40" s="76" t="s">
        <v>254</v>
      </c>
      <c r="B40" s="75" t="s">
        <v>200</v>
      </c>
      <c r="C40" s="77">
        <v>32000</v>
      </c>
      <c r="D40" s="205">
        <v>0</v>
      </c>
      <c r="E40" s="93">
        <v>0</v>
      </c>
    </row>
    <row r="41" spans="1:7" s="177" customFormat="1" ht="21.95" customHeight="1">
      <c r="A41" s="76" t="s">
        <v>255</v>
      </c>
      <c r="B41" s="75" t="s">
        <v>155</v>
      </c>
      <c r="C41" s="77">
        <v>12000</v>
      </c>
      <c r="D41" s="205">
        <v>0</v>
      </c>
      <c r="E41" s="93">
        <v>0</v>
      </c>
    </row>
    <row r="42" spans="1:7" s="177" customFormat="1" ht="21.95" customHeight="1">
      <c r="A42" s="76" t="s">
        <v>206</v>
      </c>
      <c r="B42" s="75" t="s">
        <v>155</v>
      </c>
      <c r="C42" s="77"/>
      <c r="D42" s="205">
        <v>700</v>
      </c>
      <c r="E42" s="93">
        <v>0</v>
      </c>
    </row>
    <row r="43" spans="1:7" ht="21.95" customHeight="1">
      <c r="A43" s="82" t="s">
        <v>17</v>
      </c>
      <c r="B43" s="94"/>
      <c r="C43" s="84">
        <f>SUM(C39:C41)</f>
        <v>44500</v>
      </c>
      <c r="D43" s="206">
        <f>SUM(D40:D42)</f>
        <v>700</v>
      </c>
      <c r="E43" s="85">
        <f>SUM(E40:E42)</f>
        <v>0</v>
      </c>
    </row>
    <row r="44" spans="1:7" ht="21.95" customHeight="1">
      <c r="A44" s="74" t="s">
        <v>115</v>
      </c>
      <c r="B44" s="71">
        <v>41600000</v>
      </c>
      <c r="C44" s="72"/>
      <c r="D44" s="205"/>
      <c r="E44" s="269" t="s">
        <v>16</v>
      </c>
    </row>
    <row r="45" spans="1:7" ht="21.95" customHeight="1">
      <c r="A45" s="76" t="s">
        <v>116</v>
      </c>
      <c r="B45" s="75" t="s">
        <v>201</v>
      </c>
      <c r="C45" s="77">
        <v>3500</v>
      </c>
      <c r="D45" s="205">
        <v>0</v>
      </c>
      <c r="E45" s="93">
        <v>0</v>
      </c>
      <c r="G45" s="79">
        <f>SUM(C45-D45)</f>
        <v>3500</v>
      </c>
    </row>
    <row r="46" spans="1:7" ht="21.95" customHeight="1">
      <c r="A46" s="82" t="s">
        <v>17</v>
      </c>
      <c r="B46" s="94"/>
      <c r="C46" s="84">
        <f>SUM(C45:C45)</f>
        <v>3500</v>
      </c>
      <c r="D46" s="206">
        <f>SUM(D45:D45)</f>
        <v>0</v>
      </c>
      <c r="E46" s="85">
        <f>SUM(E45:E45)</f>
        <v>0</v>
      </c>
    </row>
    <row r="47" spans="1:7" ht="21.95" customHeight="1">
      <c r="A47" s="102" t="s">
        <v>92</v>
      </c>
      <c r="B47" s="100"/>
      <c r="C47" s="72"/>
      <c r="D47" s="85">
        <f>SUM(D12+D26+D30+D33+D43+D46)</f>
        <v>470462.20000000007</v>
      </c>
      <c r="E47" s="85">
        <f>SUM(E12+E26+E30+E33+E43+E46)</f>
        <v>185125.4</v>
      </c>
    </row>
    <row r="48" spans="1:7" ht="21.95" customHeight="1">
      <c r="A48" s="103" t="s">
        <v>93</v>
      </c>
      <c r="B48" s="71">
        <v>42000000</v>
      </c>
      <c r="C48" s="77"/>
      <c r="D48" s="92"/>
      <c r="E48" s="76"/>
    </row>
    <row r="49" spans="1:7" ht="21.95" customHeight="1">
      <c r="A49" s="74" t="s">
        <v>106</v>
      </c>
      <c r="B49" s="71">
        <v>42100000</v>
      </c>
      <c r="C49" s="104"/>
      <c r="D49" s="208"/>
      <c r="E49" s="163"/>
    </row>
    <row r="50" spans="1:7" ht="21.95" customHeight="1">
      <c r="A50" s="96" t="s">
        <v>94</v>
      </c>
      <c r="B50" s="71">
        <v>42100001</v>
      </c>
      <c r="C50" s="105">
        <v>370000</v>
      </c>
      <c r="D50" s="93">
        <f>65120.69+39652.87</f>
        <v>104773.56</v>
      </c>
      <c r="E50" s="164">
        <v>39652.870000000003</v>
      </c>
      <c r="G50" s="87"/>
    </row>
    <row r="51" spans="1:7" ht="21.95" customHeight="1">
      <c r="A51" s="76" t="s">
        <v>257</v>
      </c>
      <c r="B51" s="71">
        <v>42100002</v>
      </c>
      <c r="C51" s="97">
        <v>6000000</v>
      </c>
      <c r="D51" s="93">
        <f>571700.25+703743.62+723407.92</f>
        <v>1998851.79</v>
      </c>
      <c r="E51" s="164">
        <v>723407.92</v>
      </c>
      <c r="G51" s="87"/>
    </row>
    <row r="52" spans="1:7" ht="21.95" customHeight="1">
      <c r="A52" s="76" t="s">
        <v>170</v>
      </c>
      <c r="B52" s="71">
        <v>42100004</v>
      </c>
      <c r="C52" s="97">
        <v>1500000</v>
      </c>
      <c r="D52" s="78">
        <f>143172.3+105806+181438.77</f>
        <v>430417.06999999995</v>
      </c>
      <c r="E52" s="164">
        <v>181438.77</v>
      </c>
      <c r="G52" s="87"/>
    </row>
    <row r="53" spans="1:7" ht="21.95" customHeight="1">
      <c r="A53" s="76" t="s">
        <v>95</v>
      </c>
      <c r="B53" s="71">
        <v>42100005</v>
      </c>
      <c r="C53" s="97">
        <v>50000</v>
      </c>
      <c r="D53" s="93">
        <v>15625.41</v>
      </c>
      <c r="E53" s="164">
        <v>15625.41</v>
      </c>
      <c r="G53" s="87"/>
    </row>
    <row r="54" spans="1:7" ht="21.95" customHeight="1">
      <c r="A54" s="76" t="s">
        <v>96</v>
      </c>
      <c r="B54" s="71">
        <v>42100006</v>
      </c>
      <c r="C54" s="97">
        <v>800000</v>
      </c>
      <c r="D54" s="78">
        <v>0</v>
      </c>
      <c r="E54" s="165">
        <v>0</v>
      </c>
      <c r="G54" s="87"/>
    </row>
    <row r="55" spans="1:7" ht="21.95" customHeight="1">
      <c r="A55" s="76" t="s">
        <v>97</v>
      </c>
      <c r="B55" s="71">
        <v>42100007</v>
      </c>
      <c r="C55" s="97">
        <v>1900000</v>
      </c>
      <c r="D55" s="78">
        <f>260791.43+254933.9+224143.59</f>
        <v>739868.91999999993</v>
      </c>
      <c r="E55" s="165">
        <v>224143.59</v>
      </c>
      <c r="G55" s="87"/>
    </row>
    <row r="56" spans="1:7" ht="21.95" customHeight="1">
      <c r="A56" s="76" t="s">
        <v>117</v>
      </c>
      <c r="B56" s="71">
        <v>42100012</v>
      </c>
      <c r="C56" s="97">
        <v>66000</v>
      </c>
      <c r="D56" s="88">
        <f>23058.58</f>
        <v>23058.58</v>
      </c>
      <c r="E56" s="166">
        <v>23058.58</v>
      </c>
      <c r="G56" s="87"/>
    </row>
    <row r="57" spans="1:7" ht="21.95" customHeight="1">
      <c r="A57" s="76" t="s">
        <v>120</v>
      </c>
      <c r="B57" s="71">
        <v>42100013</v>
      </c>
      <c r="C57" s="97">
        <v>30000</v>
      </c>
      <c r="D57" s="88">
        <f>6100.11</f>
        <v>6100.11</v>
      </c>
      <c r="E57" s="166">
        <v>0</v>
      </c>
      <c r="G57" s="87"/>
    </row>
    <row r="58" spans="1:7" ht="21.95" customHeight="1">
      <c r="A58" s="267" t="s">
        <v>171</v>
      </c>
      <c r="B58" s="71">
        <v>42100015</v>
      </c>
      <c r="C58" s="77">
        <v>760000</v>
      </c>
      <c r="D58" s="88">
        <f>80335+53645+75332</f>
        <v>209312</v>
      </c>
      <c r="E58" s="88">
        <v>75332</v>
      </c>
      <c r="G58" s="87"/>
    </row>
    <row r="59" spans="1:7" ht="21.95" customHeight="1">
      <c r="A59" s="76" t="s">
        <v>286</v>
      </c>
      <c r="B59" s="71">
        <v>42199999</v>
      </c>
      <c r="C59" s="106">
        <v>1000</v>
      </c>
      <c r="D59" s="167">
        <v>0</v>
      </c>
      <c r="E59" s="167">
        <v>0</v>
      </c>
      <c r="G59" s="87"/>
    </row>
    <row r="60" spans="1:7" ht="21.95" customHeight="1">
      <c r="A60" s="82" t="s">
        <v>17</v>
      </c>
      <c r="B60" s="94"/>
      <c r="C60" s="84">
        <f>SUM(C50:C59)</f>
        <v>11477000</v>
      </c>
      <c r="D60" s="68">
        <f>SUM(D50:D59)</f>
        <v>3528007.44</v>
      </c>
      <c r="E60" s="85">
        <f>SUM(E50:E59)</f>
        <v>1282659.1400000001</v>
      </c>
      <c r="G60" s="107"/>
    </row>
    <row r="61" spans="1:7" ht="21.95" customHeight="1">
      <c r="A61" s="102" t="s">
        <v>98</v>
      </c>
      <c r="B61" s="100"/>
      <c r="C61" s="72"/>
      <c r="D61" s="85">
        <f>SUM(D47+D60)</f>
        <v>3998469.64</v>
      </c>
      <c r="E61" s="85">
        <f>SUM(E47+E60)</f>
        <v>1467784.54</v>
      </c>
    </row>
    <row r="62" spans="1:7" ht="21.95" customHeight="1">
      <c r="A62" s="103" t="s">
        <v>202</v>
      </c>
      <c r="B62" s="71">
        <v>43000000</v>
      </c>
      <c r="C62" s="77"/>
      <c r="D62" s="92"/>
      <c r="E62" s="76"/>
    </row>
    <row r="63" spans="1:7" ht="21.95" customHeight="1">
      <c r="A63" s="74" t="s">
        <v>112</v>
      </c>
      <c r="B63" s="71">
        <v>43100000</v>
      </c>
      <c r="C63" s="72">
        <v>15460000</v>
      </c>
      <c r="D63" s="92"/>
      <c r="E63" s="76"/>
    </row>
    <row r="64" spans="1:7" s="177" customFormat="1" ht="21.95" customHeight="1">
      <c r="A64" s="76" t="s">
        <v>287</v>
      </c>
      <c r="B64" s="71">
        <v>43100000</v>
      </c>
      <c r="C64" s="72"/>
      <c r="D64" s="205"/>
      <c r="E64" s="93"/>
    </row>
    <row r="65" spans="1:8" s="177" customFormat="1" ht="21.95" customHeight="1">
      <c r="A65" s="76" t="s">
        <v>289</v>
      </c>
      <c r="B65" s="71">
        <v>43100000</v>
      </c>
      <c r="C65" s="77"/>
      <c r="D65" s="78">
        <f>1294200+1294200</f>
        <v>2588400</v>
      </c>
      <c r="E65" s="78">
        <v>1294200</v>
      </c>
    </row>
    <row r="66" spans="1:8" s="177" customFormat="1" ht="21.95" customHeight="1">
      <c r="A66" s="76" t="s">
        <v>290</v>
      </c>
      <c r="B66" s="71">
        <v>43100000</v>
      </c>
      <c r="C66" s="77"/>
      <c r="D66" s="78">
        <f>247200+247200</f>
        <v>494400</v>
      </c>
      <c r="E66" s="78">
        <v>247200</v>
      </c>
    </row>
    <row r="67" spans="1:8" s="177" customFormat="1" ht="21.95" customHeight="1">
      <c r="A67" s="76" t="s">
        <v>275</v>
      </c>
      <c r="B67" s="71">
        <v>43100000</v>
      </c>
      <c r="C67" s="77"/>
      <c r="D67" s="78">
        <v>3000</v>
      </c>
      <c r="E67" s="78">
        <v>0</v>
      </c>
      <c r="G67" s="255"/>
    </row>
    <row r="68" spans="1:8" s="177" customFormat="1" ht="21.95" customHeight="1">
      <c r="A68" s="94" t="s">
        <v>291</v>
      </c>
      <c r="B68" s="71">
        <v>43100000</v>
      </c>
      <c r="C68" s="77"/>
      <c r="D68" s="78">
        <f>487020+528420</f>
        <v>1015440</v>
      </c>
      <c r="E68" s="78">
        <v>528420</v>
      </c>
      <c r="G68" s="255"/>
    </row>
    <row r="69" spans="1:8" s="177" customFormat="1" ht="21.95" customHeight="1">
      <c r="A69" s="76" t="s">
        <v>276</v>
      </c>
      <c r="B69" s="71">
        <v>43100000</v>
      </c>
      <c r="C69" s="77"/>
      <c r="D69" s="78">
        <v>316200</v>
      </c>
      <c r="E69" s="78">
        <v>0</v>
      </c>
    </row>
    <row r="70" spans="1:8" s="253" customFormat="1" ht="21.95" customHeight="1">
      <c r="A70" s="259" t="s">
        <v>278</v>
      </c>
      <c r="B70" s="83">
        <v>43100000</v>
      </c>
      <c r="C70" s="77"/>
      <c r="D70" s="78">
        <f>241800</f>
        <v>241800</v>
      </c>
      <c r="E70" s="78">
        <v>0</v>
      </c>
      <c r="G70" s="271" t="s">
        <v>274</v>
      </c>
      <c r="H70" s="272"/>
    </row>
    <row r="71" spans="1:8" s="177" customFormat="1" ht="21.95" customHeight="1">
      <c r="A71" s="261" t="s">
        <v>279</v>
      </c>
      <c r="B71" s="120">
        <v>43100000</v>
      </c>
      <c r="C71" s="121"/>
      <c r="D71" s="202">
        <f>306000</f>
        <v>306000</v>
      </c>
      <c r="E71" s="169">
        <v>0</v>
      </c>
      <c r="F71" s="111"/>
      <c r="G71" s="273" t="s">
        <v>273</v>
      </c>
      <c r="H71" s="274"/>
    </row>
    <row r="72" spans="1:8" ht="21.95" customHeight="1">
      <c r="A72" s="108"/>
      <c r="B72" s="109"/>
      <c r="C72" s="92"/>
      <c r="D72" s="209"/>
      <c r="E72" s="162" t="s">
        <v>179</v>
      </c>
      <c r="F72" s="110"/>
    </row>
    <row r="73" spans="1:8" ht="21.95" customHeight="1">
      <c r="A73" s="69" t="s">
        <v>19</v>
      </c>
      <c r="B73" s="67" t="s">
        <v>2</v>
      </c>
      <c r="C73" s="68" t="s">
        <v>32</v>
      </c>
      <c r="D73" s="203" t="s">
        <v>81</v>
      </c>
      <c r="E73" s="69" t="s">
        <v>82</v>
      </c>
    </row>
    <row r="74" spans="1:8" ht="21.95" customHeight="1">
      <c r="A74" s="74" t="s">
        <v>112</v>
      </c>
      <c r="B74" s="100"/>
      <c r="C74" s="97"/>
      <c r="D74" s="78"/>
      <c r="E74" s="165"/>
    </row>
    <row r="75" spans="1:8" ht="21.95" customHeight="1">
      <c r="A75" s="259" t="s">
        <v>280</v>
      </c>
      <c r="B75" s="71">
        <v>43100000</v>
      </c>
      <c r="C75" s="97"/>
      <c r="D75" s="78">
        <f>89104</f>
        <v>89104</v>
      </c>
      <c r="E75" s="165">
        <v>0</v>
      </c>
    </row>
    <row r="76" spans="1:8" ht="21.95" customHeight="1">
      <c r="A76" s="114" t="s">
        <v>281</v>
      </c>
      <c r="B76" s="71">
        <v>43100000</v>
      </c>
      <c r="C76" s="97"/>
      <c r="D76" s="78">
        <f>146589</f>
        <v>146589</v>
      </c>
      <c r="E76" s="165">
        <v>0</v>
      </c>
    </row>
    <row r="77" spans="1:8" ht="21.95" customHeight="1">
      <c r="A77" s="76" t="s">
        <v>213</v>
      </c>
      <c r="B77" s="71">
        <v>43100000</v>
      </c>
      <c r="C77" s="97"/>
      <c r="D77" s="78">
        <v>0</v>
      </c>
      <c r="E77" s="165">
        <v>0</v>
      </c>
    </row>
    <row r="78" spans="1:8" ht="21.95" customHeight="1">
      <c r="A78" s="254" t="s">
        <v>283</v>
      </c>
      <c r="B78" s="71">
        <v>43100002</v>
      </c>
      <c r="C78" s="97"/>
      <c r="D78" s="78">
        <v>240000</v>
      </c>
      <c r="E78" s="165">
        <v>0</v>
      </c>
      <c r="F78" s="174"/>
    </row>
    <row r="79" spans="1:8" ht="21.95" customHeight="1">
      <c r="A79" s="76" t="s">
        <v>284</v>
      </c>
      <c r="B79" s="71">
        <v>43100002</v>
      </c>
      <c r="C79" s="72"/>
      <c r="D79" s="77">
        <f>1374808+1374808</f>
        <v>2749616</v>
      </c>
      <c r="E79" s="165">
        <v>1374808</v>
      </c>
    </row>
    <row r="80" spans="1:8" ht="21.95" customHeight="1">
      <c r="A80" s="76" t="s">
        <v>282</v>
      </c>
      <c r="B80" s="71"/>
      <c r="C80" s="72"/>
      <c r="D80" s="106"/>
      <c r="E80" s="202"/>
    </row>
    <row r="81" spans="1:7" ht="21.95" customHeight="1" thickBot="1">
      <c r="A81" s="102" t="s">
        <v>113</v>
      </c>
      <c r="B81" s="100"/>
      <c r="C81" s="84">
        <f>SUM(C63)</f>
        <v>15460000</v>
      </c>
      <c r="D81" s="210">
        <f>SUM(D64:D79)</f>
        <v>8190549</v>
      </c>
      <c r="E81" s="168">
        <f>SUM(E64:E79)</f>
        <v>3444628</v>
      </c>
    </row>
    <row r="82" spans="1:7" ht="21.95" customHeight="1">
      <c r="A82" s="112" t="s">
        <v>99</v>
      </c>
      <c r="B82" s="100"/>
      <c r="C82" s="72"/>
      <c r="D82" s="113">
        <f>SUM(D61+D81)</f>
        <v>12189018.640000001</v>
      </c>
      <c r="E82" s="113">
        <f>SUM(E61+E81)</f>
        <v>4912412.54</v>
      </c>
    </row>
    <row r="83" spans="1:7" ht="21.95" customHeight="1">
      <c r="A83" s="74" t="s">
        <v>128</v>
      </c>
      <c r="B83" s="71">
        <v>44100000</v>
      </c>
      <c r="C83" s="72"/>
      <c r="D83" s="205"/>
      <c r="E83" s="93"/>
    </row>
    <row r="84" spans="1:7" ht="21.95" customHeight="1">
      <c r="A84" s="94" t="s">
        <v>258</v>
      </c>
      <c r="B84" s="71">
        <v>44100001</v>
      </c>
      <c r="C84" s="72"/>
      <c r="D84" s="205">
        <f>1495000</f>
        <v>1495000</v>
      </c>
      <c r="E84" s="93">
        <v>0</v>
      </c>
    </row>
    <row r="85" spans="1:7" ht="21.95" customHeight="1">
      <c r="A85" s="114"/>
      <c r="B85" s="71"/>
      <c r="C85" s="72"/>
      <c r="D85" s="205"/>
      <c r="E85" s="93"/>
    </row>
    <row r="86" spans="1:7" ht="21.95" customHeight="1">
      <c r="A86" s="82" t="s">
        <v>17</v>
      </c>
      <c r="B86" s="94"/>
      <c r="C86" s="85">
        <f>SUM(C85:C85)</f>
        <v>0</v>
      </c>
      <c r="D86" s="85">
        <f>SUM(D84:D85)</f>
        <v>1495000</v>
      </c>
      <c r="E86" s="85">
        <f>SUM(E84:E85)</f>
        <v>0</v>
      </c>
    </row>
    <row r="87" spans="1:7" ht="21.95" customHeight="1">
      <c r="A87" s="102" t="s">
        <v>100</v>
      </c>
      <c r="B87" s="115"/>
      <c r="C87" s="84">
        <f>SUM(C12+C26+C30+C33+C43+C46+C60+C81)</f>
        <v>30742510</v>
      </c>
      <c r="D87" s="85">
        <f>SUM(D82+D86)</f>
        <v>13684018.640000001</v>
      </c>
      <c r="E87" s="85">
        <f>SUM(E82+E86)</f>
        <v>4912412.54</v>
      </c>
      <c r="G87" s="107"/>
    </row>
    <row r="88" spans="1:7" ht="17.45" customHeight="1">
      <c r="A88" s="116"/>
      <c r="B88" s="117"/>
      <c r="C88" s="101"/>
      <c r="D88" s="211"/>
      <c r="E88" s="211"/>
    </row>
    <row r="89" spans="1:7" ht="18" customHeight="1">
      <c r="A89" s="116"/>
      <c r="B89" s="117"/>
      <c r="C89" s="101"/>
      <c r="D89" s="211"/>
      <c r="E89" s="211"/>
    </row>
    <row r="90" spans="1:7" ht="20.100000000000001" customHeight="1">
      <c r="D90" s="212"/>
      <c r="E90" s="270"/>
    </row>
  </sheetData>
  <mergeCells count="4">
    <mergeCell ref="A1:E1"/>
    <mergeCell ref="A2:E2"/>
    <mergeCell ref="A3:E3"/>
    <mergeCell ref="A4:E4"/>
  </mergeCells>
  <pageMargins left="0.22" right="0.11" top="0.45" bottom="0.21" header="0.2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รายงานรับ-จ่ายเงิน(ตค)</vt:lpstr>
      <vt:lpstr>เงินรับฝาก</vt:lpstr>
      <vt:lpstr>งบทดลอง</vt:lpstr>
      <vt:lpstr>หมายเหตุ 1 รายงานรับ-จ่ายเงินสด</vt:lpstr>
    </vt:vector>
  </TitlesOfParts>
  <Company>TTT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KKD Windows 7 V.3</cp:lastModifiedBy>
  <cp:lastPrinted>2018-01-05T04:44:31Z</cp:lastPrinted>
  <dcterms:created xsi:type="dcterms:W3CDTF">2013-06-07T04:08:05Z</dcterms:created>
  <dcterms:modified xsi:type="dcterms:W3CDTF">2018-01-09T07:11:30Z</dcterms:modified>
</cp:coreProperties>
</file>