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920" tabRatio="598" activeTab="2"/>
  </bookViews>
  <sheets>
    <sheet name="รายงานรับ-จ่ายเงิน" sheetId="1" r:id="rId1"/>
    <sheet name="งบทดลอง" sheetId="2" r:id="rId2"/>
    <sheet name="หมายเหตุ 1 รายงานรับ-จ่ายเงินสด" sheetId="3" r:id="rId3"/>
  </sheets>
  <definedNames/>
  <calcPr fullCalcOnLoad="1"/>
</workbook>
</file>

<file path=xl/sharedStrings.xml><?xml version="1.0" encoding="utf-8"?>
<sst xmlns="http://schemas.openxmlformats.org/spreadsheetml/2006/main" count="419" uniqueCount="272">
  <si>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</si>
  <si>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</si>
  <si>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</si>
  <si>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</si>
  <si>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</si>
  <si>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</si>
  <si>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</si>
  <si>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</si>
  <si>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</si>
  <si>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</si>
  <si>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</si>
  <si>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</si>
  <si>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</si>
  <si>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</si>
  <si>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</si>
  <si>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</si>
  <si>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</si>
  <si>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</si>
  <si>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</si>
  <si>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</si>
  <si>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</si>
  <si>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</si>
  <si>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</si>
  <si>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</si>
  <si>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</si>
  <si>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</si>
  <si>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</si>
  <si>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</si>
  <si>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</si>
  <si>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</si>
  <si>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</si>
  <si>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</si>
  <si>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</si>
  <si>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</si>
  <si>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</si>
  <si>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</si>
  <si>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</si>
  <si>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</si>
  <si>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</si>
  <si>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</si>
  <si>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</si>
  <si>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</si>
  <si>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</si>
  <si>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</si>
  <si>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</si>
  <si>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</si>
  <si>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</si>
  <si>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</si>
  <si>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</si>
  <si>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</si>
  <si>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</si>
  <si>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</si>
  <si>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</si>
  <si>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</si>
  <si>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</si>
  <si>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</si>
  <si>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</si>
  <si>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</si>
  <si>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</si>
  <si>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</si>
  <si>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</si>
  <si>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</si>
  <si>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</si>
  <si>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</si>
  <si>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</si>
  <si>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</si>
  <si>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</si>
  <si>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</si>
  <si>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</si>
  <si>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เงินเดือน (ฝ่ายการเมือง)</t>
  </si>
  <si>
    <t>เงินเดือน (ฝ่ายประจำ)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</si>
  <si>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</si>
  <si>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</si>
  <si>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</si>
  <si>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</si>
  <si>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</si>
  <si>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</si>
  <si>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</si>
  <si>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</si>
  <si>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</si>
  <si>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</si>
  <si>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</si>
  <si>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</si>
  <si>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</si>
  <si>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</si>
  <si>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</si>
  <si>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</si>
  <si>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</si>
  <si>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</si>
  <si>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</si>
  <si>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</si>
  <si>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</si>
  <si>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</si>
  <si>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</si>
  <si>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รับคืนเงินงบกลาง-เบี้ยผู้สูงอายุ-พิการ</t>
  </si>
  <si>
    <t>หมวดภาษีจัดสรร</t>
  </si>
  <si>
    <t>ลูกหนี้-เงินยืมเงินงบประมาณ</t>
  </si>
  <si>
    <t xml:space="preserve">              งบกลาง (รายจ่ายตามข้อผูกพัน)</t>
  </si>
  <si>
    <t xml:space="preserve">              งบกลาง (กบท)</t>
  </si>
  <si>
    <t>เงินฝาก ก.ส.ท.</t>
  </si>
  <si>
    <t>ลูกหนี้ - ค่าน้ำประปา</t>
  </si>
  <si>
    <t>หมวดเงินอุดหนุนทั่วไป</t>
  </si>
  <si>
    <t>รวมเงินอุดหนุนทั่วไป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</si>
  <si>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</si>
  <si>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</si>
  <si>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</si>
  <si>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</si>
  <si>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</si>
  <si>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</si>
  <si>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8) ค่าภาคหลวงปิโตรเลียม</t>
  </si>
  <si>
    <t>รับคืนเงินค่าลงทะเบียน</t>
  </si>
  <si>
    <t>เฉพาะกิจ(บาท)</t>
  </si>
  <si>
    <t>เงินอุดหนุนเฉพาะกิจ</t>
  </si>
  <si>
    <t xml:space="preserve">              เงินอุดหนุนเฉพาะกิจ</t>
  </si>
  <si>
    <t>ลูกหนี้-เงินสะสม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</si>
  <si>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</si>
  <si>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</si>
  <si>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</si>
  <si>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</si>
  <si>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</si>
  <si>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</si>
  <si>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</si>
  <si>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</si>
  <si>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</si>
  <si>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</si>
  <si>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</si>
  <si>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</si>
  <si>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</si>
  <si>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</si>
  <si>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</si>
  <si>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</si>
  <si>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</si>
  <si>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</si>
  <si>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</si>
  <si>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</si>
  <si>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</si>
  <si>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</si>
  <si>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</si>
  <si>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</si>
  <si>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</si>
  <si>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</si>
  <si>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</si>
  <si>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</si>
  <si>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</si>
  <si>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</si>
  <si>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</si>
  <si>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</si>
  <si>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</si>
  <si>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</si>
  <si>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</si>
  <si>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</si>
  <si>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</si>
  <si>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</si>
  <si>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</si>
  <si>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</si>
  <si>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</si>
  <si>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</si>
  <si>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 xml:space="preserve">              งบกลาง (เบี้ยยังชีพผู้ป่วยเอดส์)</t>
  </si>
  <si>
    <t xml:space="preserve">              งบกลาง (เบี้ยยังชีพคนชรา)</t>
  </si>
  <si>
    <t xml:space="preserve">              งบกลาง (เบี้ยยังชีพคนพิการ)</t>
  </si>
  <si>
    <r>
      <t xml:space="preserve">เงินรับฝาก </t>
    </r>
    <r>
      <rPr>
        <b/>
        <u val="single"/>
        <sz val="11.5"/>
        <rFont val="TH SarabunPSK"/>
        <family val="2"/>
      </rPr>
      <t xml:space="preserve"> (หมายเหตุ 2)</t>
    </r>
  </si>
  <si>
    <t>หน้าที่ 2</t>
  </si>
  <si>
    <t>หน้าที่ 3</t>
  </si>
  <si>
    <t>11011000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</si>
  <si>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</si>
  <si>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</si>
  <si>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</si>
  <si>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</si>
  <si>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</si>
  <si>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</si>
  <si>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</si>
  <si>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</si>
  <si>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</si>
  <si>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</si>
  <si>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</si>
  <si>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</si>
  <si>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</si>
  <si>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</si>
  <si>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</si>
  <si>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</si>
  <si>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</si>
  <si>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</si>
  <si>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</si>
  <si>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</si>
  <si>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</si>
  <si>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</si>
  <si>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</si>
  <si>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</si>
  <si>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</si>
  <si>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</si>
  <si>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.</t>
  </si>
  <si>
    <t>รายได้ที่รัฐบาลเก็บแล้วจัดสรรให้องค์กรปกครองส่วนท้องถิ่น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</si>
  <si>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</si>
  <si>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</si>
  <si>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</si>
  <si>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t>รับคืนประกันสังคม</t>
  </si>
  <si>
    <t>ถอนคืนเงินเดือนครู</t>
  </si>
  <si>
    <t>รายจ่ายค้างจ่าย (หมายเหตุ 3)</t>
  </si>
  <si>
    <t>11043001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</si>
  <si>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</si>
  <si>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</si>
  <si>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</si>
  <si>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</si>
  <si>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</si>
  <si>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(เบี้ยยังชีพคนพิการ)</t>
  </si>
  <si>
    <t>ลูกหนี้เงินยืมเงิน  - งบประมาณ</t>
  </si>
  <si>
    <t>ลูกหนี้ - เงินสะสม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</si>
  <si>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</si>
  <si>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</si>
  <si>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</si>
  <si>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</si>
  <si>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</si>
  <si>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</si>
  <si>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</si>
  <si>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</si>
  <si>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</si>
  <si>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</si>
  <si>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ปีงบประมาณ 2561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</si>
  <si>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</si>
  <si>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</si>
  <si>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</si>
  <si>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</si>
  <si>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</si>
  <si>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</si>
  <si>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</si>
  <si>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</si>
  <si>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</si>
  <si>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</si>
  <si>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1) โครงการก่อสร้างระบบประปาหมู่บ้านแบบหอถังฯ ม.7 บ้านควนเถี๊ยะ</t>
  </si>
  <si>
    <t>บัญชีเงินรับฝาก  (หมายเหตุ 2)</t>
  </si>
  <si>
    <r>
      <t xml:space="preserve">เงินรับฝาก </t>
    </r>
    <r>
      <rPr>
        <u val="single"/>
        <sz val="12"/>
        <rFont val="TH SarabunPSK"/>
        <family val="2"/>
      </rPr>
      <t xml:space="preserve"> (หมายเหตุ 2)</t>
    </r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</si>
  <si>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</si>
  <si>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</si>
  <si>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</si>
  <si>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</si>
  <si>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</si>
  <si>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ปฐมวัย=89104/ประถม=146589</t>
  </si>
  <si>
    <t>ปฐมวัย=241800/ประถม=306000</t>
  </si>
  <si>
    <t>6) เงินอุดหนุน-ค่าจัดการเรียนการสอน (ตค.-ธค.60)</t>
  </si>
  <si>
    <t xml:space="preserve">เงินอุดหนุนเฉพาะกิจ - ค่าที่ดินและสิ่งก่อสร้าง </t>
  </si>
  <si>
    <t xml:space="preserve">     และภารกิจถ่ายโอนเลือกทำ</t>
  </si>
  <si>
    <t>12) เงินอุดหนุน-โครงการพระราชดำริด้านสาธารณสุข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</si>
  <si>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</si>
  <si>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</si>
  <si>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</si>
  <si>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13) เงินอุดหนุน-โครงการสัตว์ปลอดโรคคนปลอดภัยฯ (เพื่อขับเคลื่อน)</t>
  </si>
  <si>
    <t>14) เงินอุดหนุน-โครงการสัตว์ปลอดโรคคนปลอดภัยฯ (สำรวจข้อมูล)</t>
  </si>
  <si>
    <t>15) เงินอุดหนุนทั่วไป สำหรับดำเนินการตามอำนาจหน้าที่</t>
  </si>
  <si>
    <t>ลูกหนีภาษีโรงเรือนและที่ดิน</t>
  </si>
  <si>
    <t>รายได้ที่รัฐบาลอุดหนุนให้โดยระบุวัตถุประสงค์/เฉพาะกิจ</t>
  </si>
  <si>
    <t>(1) เงินอุดหนุนเฉพาะกิจจากกรมส่งเสริมการปกครองท้องถิ่น</t>
  </si>
  <si>
    <t>3) โครงการขยายเขตประปาหมู่บ้าน  ม. 8 บ้านเกาะลางสาด</t>
  </si>
  <si>
    <t>2) โครงการก่อสร้างระบบประปาหมู่บ้านแบบบาดาลขนาดความจุ 12 ลบ.ม.</t>
  </si>
  <si>
    <t>เงินขาดบัญชี</t>
  </si>
  <si>
    <t>12045000</t>
  </si>
  <si>
    <t>เงินเกินบัญชี</t>
  </si>
  <si>
    <t>21061000</t>
  </si>
  <si>
    <t>ไตรมาสที่ 2</t>
  </si>
  <si>
    <t>ลูกหนี้รายได้อื่น ๆ - ค่าน้ำประปา</t>
  </si>
  <si>
    <t>2) เงินอุดหนุน -  เบี้ยยังชีพผู้สูงอายุ (เมย.-มิย.61)</t>
  </si>
  <si>
    <t>3) เงินอุดหนุน - เบี้ยยังชีพคนพิการ (เมย.-มิย.61)</t>
  </si>
  <si>
    <t>4) เงินอุดหนุน - ผู้ป่วยเอดส์ (เมย.-มิย.61)</t>
  </si>
  <si>
    <t>9) เงินอุดหนุน-ศูนย์พัฒนาเด็กเล็ก (ค่าอาหารเสริมนม ปฐมวัย เมย.-มิย.61)</t>
  </si>
  <si>
    <t>10) เงินอุดหนุน-ศูนย์พัฒนาเด็กเล็ก (ค่าอาหารเสริมนม ปฐมศึกษา เมย.-มิย.61)</t>
  </si>
  <si>
    <t>8) เงินอุดหนุน-ศูนย์พัฒนาเด็กเล็ก (ค่าอาหารกลางวัน ปฐมศึกษา เมย.-มิย.61)</t>
  </si>
  <si>
    <t>7) เงินอุดหนุน-ศูนย์พัฒนาเด็กเล็ก (ค่าอาหารกลางวัน ปฐมวัย เมย.-มิย.61)</t>
  </si>
  <si>
    <t>งบกลาง (เบี้ยยังชีพผู้สูงอายุ)</t>
  </si>
  <si>
    <t>เงินฝากธนาคาร กรุงไทย (ออมทรัพย์) เลขที่ 814-0-35095-8</t>
  </si>
  <si>
    <t>ณ วันที่ 30  มิถุนายน 2561</t>
  </si>
  <si>
    <t>5) เงินอุดหนุน-ศูนย์พัฒนาเด็กเล็ก (เงินเดือน ค่าตอบแทน กค.-กย.61)</t>
  </si>
  <si>
    <t>ปีงบประมาณ  2561  ประจำเดือนมิถุนายน พ.ศ. 2561</t>
  </si>
  <si>
    <t xml:space="preserve">  ณ วันที่ 30 มิถุนายน 2561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</si>
</sst>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  <numFmt numFmtId="189" formatCode="_(* #,##0_);_(* \(#,##0\);_(* &quot;-&quot;??_);_(@_)"/>
    <numFmt numFmtId="190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u val="single"/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b/>
      <sz val="11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 val="single"/>
      <sz val="12"/>
      <name val="TH SarabunPSK"/>
      <family val="2"/>
    </font>
    <font>
      <sz val="14.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9" fillId="0" borderId="0" xfId="0" applyFont="1" applyAlignment="1">
      <alignment/>
    </xf>
    <xf numFmtId="187" fontId="12" fillId="33" borderId="10" xfId="33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87" fontId="12" fillId="33" borderId="12" xfId="33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7" fontId="12" fillId="33" borderId="13" xfId="33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Border="1" applyAlignment="1">
      <alignment horizontal="right"/>
    </xf>
    <xf numFmtId="187" fontId="9" fillId="0" borderId="0" xfId="0" applyNumberFormat="1" applyFont="1" applyAlignment="1">
      <alignment/>
    </xf>
    <xf numFmtId="43" fontId="15" fillId="34" borderId="10" xfId="33" applyFont="1" applyFill="1" applyBorder="1" applyAlignment="1">
      <alignment/>
    </xf>
    <xf numFmtId="43" fontId="9" fillId="0" borderId="0" xfId="0" applyNumberFormat="1" applyFont="1" applyAlignment="1">
      <alignment/>
    </xf>
    <xf numFmtId="187" fontId="15" fillId="0" borderId="14" xfId="33" applyNumberFormat="1" applyFont="1" applyBorder="1" applyAlignment="1">
      <alignment/>
    </xf>
    <xf numFmtId="187" fontId="13" fillId="0" borderId="0" xfId="33" applyNumberFormat="1" applyFont="1" applyAlignment="1">
      <alignment/>
    </xf>
    <xf numFmtId="0" fontId="13" fillId="0" borderId="0" xfId="0" applyFont="1" applyAlignment="1">
      <alignment/>
    </xf>
    <xf numFmtId="187" fontId="12" fillId="0" borderId="10" xfId="33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87" fontId="12" fillId="0" borderId="0" xfId="33" applyNumberFormat="1" applyFont="1" applyBorder="1" applyAlignment="1">
      <alignment/>
    </xf>
    <xf numFmtId="43" fontId="15" fillId="0" borderId="0" xfId="33" applyFont="1" applyAlignment="1">
      <alignment/>
    </xf>
    <xf numFmtId="0" fontId="13" fillId="0" borderId="0" xfId="0" applyFont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Fill="1" applyBorder="1" applyAlignment="1">
      <alignment/>
    </xf>
    <xf numFmtId="187" fontId="13" fillId="0" borderId="14" xfId="33" applyNumberFormat="1" applyFont="1" applyBorder="1" applyAlignment="1">
      <alignment/>
    </xf>
    <xf numFmtId="187" fontId="12" fillId="0" borderId="14" xfId="33" applyNumberFormat="1" applyFont="1" applyBorder="1" applyAlignment="1">
      <alignment/>
    </xf>
    <xf numFmtId="49" fontId="16" fillId="33" borderId="11" xfId="0" applyNumberFormat="1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2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 horizontal="center"/>
    </xf>
    <xf numFmtId="187" fontId="13" fillId="0" borderId="12" xfId="33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187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87" fontId="13" fillId="0" borderId="0" xfId="33" applyNumberFormat="1" applyFont="1" applyAlignment="1">
      <alignment horizontal="center"/>
    </xf>
    <xf numFmtId="187" fontId="13" fillId="0" borderId="14" xfId="33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5" fillId="34" borderId="10" xfId="33" applyFont="1" applyFill="1" applyBorder="1" applyAlignment="1">
      <alignment horizontal="center"/>
    </xf>
    <xf numFmtId="187" fontId="12" fillId="0" borderId="10" xfId="33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7" fontId="12" fillId="0" borderId="14" xfId="33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3" fontId="7" fillId="0" borderId="12" xfId="33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0" borderId="12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3" fontId="4" fillId="0" borderId="17" xfId="33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vertical="top"/>
    </xf>
    <xf numFmtId="4" fontId="7" fillId="0" borderId="10" xfId="33" applyNumberFormat="1" applyFont="1" applyFill="1" applyBorder="1" applyAlignment="1">
      <alignment vertical="top"/>
    </xf>
    <xf numFmtId="43" fontId="7" fillId="0" borderId="17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horizontal="right" vertical="top"/>
    </xf>
    <xf numFmtId="43" fontId="4" fillId="0" borderId="12" xfId="33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3" fontId="7" fillId="0" borderId="10" xfId="33" applyFont="1" applyFill="1" applyBorder="1" applyAlignment="1">
      <alignment horizontal="right" vertical="top"/>
    </xf>
    <xf numFmtId="43" fontId="4" fillId="0" borderId="0" xfId="33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43" fontId="7" fillId="0" borderId="18" xfId="33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43" fontId="4" fillId="0" borderId="15" xfId="33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3" fontId="7" fillId="0" borderId="0" xfId="33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43" fontId="7" fillId="0" borderId="15" xfId="33" applyFont="1" applyFill="1" applyBorder="1" applyAlignment="1">
      <alignment vertical="top"/>
    </xf>
    <xf numFmtId="43" fontId="4" fillId="0" borderId="15" xfId="33" applyFont="1" applyFill="1" applyBorder="1" applyAlignment="1">
      <alignment horizontal="right" vertical="top"/>
    </xf>
    <xf numFmtId="43" fontId="4" fillId="0" borderId="13" xfId="33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4" fontId="6" fillId="0" borderId="15" xfId="33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43" fontId="4" fillId="0" borderId="21" xfId="33" applyFont="1" applyFill="1" applyBorder="1" applyAlignment="1">
      <alignment vertical="top"/>
    </xf>
    <xf numFmtId="187" fontId="12" fillId="0" borderId="10" xfId="33" applyNumberFormat="1" applyFont="1" applyBorder="1" applyAlignment="1">
      <alignment/>
    </xf>
    <xf numFmtId="40" fontId="12" fillId="0" borderId="1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187" fontId="13" fillId="0" borderId="12" xfId="33" applyNumberFormat="1" applyFont="1" applyBorder="1" applyAlignment="1">
      <alignment horizontal="center" vertical="top"/>
    </xf>
    <xf numFmtId="187" fontId="15" fillId="0" borderId="11" xfId="33" applyNumberFormat="1" applyFont="1" applyBorder="1" applyAlignment="1">
      <alignment horizontal="center" vertical="top"/>
    </xf>
    <xf numFmtId="187" fontId="13" fillId="0" borderId="11" xfId="33" applyNumberFormat="1" applyFont="1" applyBorder="1" applyAlignment="1">
      <alignment horizontal="center" vertical="top"/>
    </xf>
    <xf numFmtId="187" fontId="12" fillId="0" borderId="22" xfId="33" applyNumberFormat="1" applyFont="1" applyBorder="1" applyAlignment="1">
      <alignment horizontal="center" vertical="top"/>
    </xf>
    <xf numFmtId="187" fontId="12" fillId="0" borderId="14" xfId="33" applyNumberFormat="1" applyFont="1" applyBorder="1" applyAlignment="1">
      <alignment horizontal="center" vertical="top"/>
    </xf>
    <xf numFmtId="187" fontId="12" fillId="0" borderId="10" xfId="33" applyNumberFormat="1" applyFont="1" applyBorder="1" applyAlignment="1">
      <alignment/>
    </xf>
    <xf numFmtId="187" fontId="12" fillId="0" borderId="0" xfId="33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3" fontId="4" fillId="0" borderId="0" xfId="33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49" fontId="4" fillId="0" borderId="24" xfId="0" applyNumberFormat="1" applyFont="1" applyBorder="1" applyAlignment="1">
      <alignment horizontal="center" vertical="top"/>
    </xf>
    <xf numFmtId="188" fontId="4" fillId="0" borderId="25" xfId="33" applyNumberFormat="1" applyFont="1" applyFill="1" applyBorder="1" applyAlignment="1">
      <alignment horizontal="center" vertical="top"/>
    </xf>
    <xf numFmtId="41" fontId="4" fillId="0" borderId="24" xfId="33" applyNumberFormat="1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4" fillId="0" borderId="25" xfId="0" applyFont="1" applyBorder="1" applyAlignment="1">
      <alignment vertical="top"/>
    </xf>
    <xf numFmtId="49" fontId="4" fillId="0" borderId="25" xfId="0" applyNumberFormat="1" applyFont="1" applyBorder="1" applyAlignment="1">
      <alignment horizontal="center" vertical="top"/>
    </xf>
    <xf numFmtId="41" fontId="4" fillId="0" borderId="25" xfId="33" applyNumberFormat="1" applyFont="1" applyFill="1" applyBorder="1" applyAlignment="1">
      <alignment vertical="top"/>
    </xf>
    <xf numFmtId="188" fontId="4" fillId="0" borderId="0" xfId="0" applyNumberFormat="1" applyFont="1" applyAlignment="1">
      <alignment vertical="top"/>
    </xf>
    <xf numFmtId="43" fontId="4" fillId="0" borderId="25" xfId="33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88" fontId="7" fillId="0" borderId="0" xfId="33" applyNumberFormat="1" applyFont="1" applyBorder="1" applyAlignment="1">
      <alignment vertical="top"/>
    </xf>
    <xf numFmtId="187" fontId="13" fillId="0" borderId="10" xfId="33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188" fontId="7" fillId="0" borderId="14" xfId="33" applyNumberFormat="1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7" xfId="33" applyNumberFormat="1" applyFont="1" applyFill="1" applyBorder="1" applyAlignment="1">
      <alignment vertical="top"/>
    </xf>
    <xf numFmtId="4" fontId="4" fillId="0" borderId="17" xfId="33" applyNumberFormat="1" applyFont="1" applyFill="1" applyBorder="1" applyAlignment="1">
      <alignment horizontal="right" vertical="top"/>
    </xf>
    <xf numFmtId="4" fontId="4" fillId="0" borderId="19" xfId="33" applyNumberFormat="1" applyFont="1" applyFill="1" applyBorder="1" applyAlignment="1">
      <alignment horizontal="right" vertical="top"/>
    </xf>
    <xf numFmtId="4" fontId="7" fillId="0" borderId="26" xfId="0" applyNumberFormat="1" applyFont="1" applyFill="1" applyBorder="1" applyAlignment="1">
      <alignment horizontal="right" vertical="top"/>
    </xf>
    <xf numFmtId="187" fontId="12" fillId="0" borderId="12" xfId="33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4" fontId="6" fillId="0" borderId="0" xfId="33" applyNumberFormat="1" applyFont="1" applyFill="1" applyBorder="1" applyAlignment="1">
      <alignment vertical="top"/>
    </xf>
    <xf numFmtId="187" fontId="13" fillId="0" borderId="27" xfId="33" applyNumberFormat="1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3" fontId="15" fillId="35" borderId="10" xfId="33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187" fontId="15" fillId="34" borderId="10" xfId="0" applyNumberFormat="1" applyFont="1" applyFill="1" applyBorder="1" applyAlignment="1">
      <alignment/>
    </xf>
    <xf numFmtId="43" fontId="15" fillId="0" borderId="0" xfId="33" applyFont="1" applyAlignment="1">
      <alignment horizontal="center"/>
    </xf>
    <xf numFmtId="43" fontId="15" fillId="34" borderId="10" xfId="33" applyFont="1" applyFill="1" applyBorder="1" applyAlignment="1">
      <alignment horizontal="center" vertical="center"/>
    </xf>
    <xf numFmtId="43" fontId="15" fillId="0" borderId="0" xfId="0" applyNumberFormat="1" applyFont="1" applyAlignment="1">
      <alignment horizontal="center"/>
    </xf>
    <xf numFmtId="43" fontId="15" fillId="0" borderId="0" xfId="33" applyFont="1" applyAlignment="1">
      <alignment/>
    </xf>
    <xf numFmtId="43" fontId="11" fillId="0" borderId="0" xfId="0" applyNumberFormat="1" applyFont="1" applyFill="1" applyAlignment="1">
      <alignment vertical="top"/>
    </xf>
    <xf numFmtId="43" fontId="13" fillId="0" borderId="0" xfId="33" applyFont="1" applyAlignment="1">
      <alignment/>
    </xf>
    <xf numFmtId="0" fontId="4" fillId="0" borderId="0" xfId="0" applyFont="1" applyBorder="1" applyAlignment="1">
      <alignment vertical="center"/>
    </xf>
    <xf numFmtId="4" fontId="4" fillId="0" borderId="13" xfId="33" applyNumberFormat="1" applyFont="1" applyFill="1" applyBorder="1" applyAlignment="1">
      <alignment vertical="top"/>
    </xf>
    <xf numFmtId="0" fontId="7" fillId="0" borderId="28" xfId="0" applyFont="1" applyFill="1" applyBorder="1" applyAlignment="1">
      <alignment horizontal="center" vertical="top"/>
    </xf>
    <xf numFmtId="43" fontId="7" fillId="0" borderId="0" xfId="33" applyFont="1" applyFill="1" applyBorder="1" applyAlignment="1">
      <alignment horizontal="center" vertical="top"/>
    </xf>
    <xf numFmtId="43" fontId="4" fillId="0" borderId="0" xfId="33" applyFont="1" applyFill="1" applyBorder="1" applyAlignment="1">
      <alignment horizontal="center" vertical="top"/>
    </xf>
    <xf numFmtId="43" fontId="7" fillId="0" borderId="16" xfId="33" applyFont="1" applyFill="1" applyBorder="1" applyAlignment="1">
      <alignment horizontal="center" vertical="top"/>
    </xf>
    <xf numFmtId="43" fontId="4" fillId="0" borderId="11" xfId="33" applyFont="1" applyFill="1" applyBorder="1" applyAlignment="1">
      <alignment horizontal="center" vertical="top"/>
    </xf>
    <xf numFmtId="43" fontId="4" fillId="0" borderId="12" xfId="33" applyFont="1" applyFill="1" applyBorder="1" applyAlignment="1">
      <alignment horizontal="center" vertical="top"/>
    </xf>
    <xf numFmtId="4" fontId="4" fillId="0" borderId="20" xfId="33" applyNumberFormat="1" applyFont="1" applyFill="1" applyBorder="1" applyAlignment="1">
      <alignment vertical="top"/>
    </xf>
    <xf numFmtId="4" fontId="7" fillId="0" borderId="0" xfId="33" applyNumberFormat="1" applyFont="1" applyFill="1" applyBorder="1" applyAlignment="1">
      <alignment vertical="top"/>
    </xf>
    <xf numFmtId="43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1" fontId="4" fillId="0" borderId="25" xfId="33" applyNumberFormat="1" applyFont="1" applyFill="1" applyBorder="1" applyAlignment="1">
      <alignment horizontal="center" vertical="top"/>
    </xf>
    <xf numFmtId="187" fontId="18" fillId="33" borderId="13" xfId="33" applyNumberFormat="1" applyFont="1" applyFill="1" applyBorder="1" applyAlignment="1">
      <alignment horizontal="center"/>
    </xf>
    <xf numFmtId="187" fontId="12" fillId="0" borderId="13" xfId="33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vertical="top"/>
    </xf>
    <xf numFmtId="0" fontId="9" fillId="0" borderId="0" xfId="0" applyFont="1" applyAlignment="1">
      <alignment vertical="center"/>
    </xf>
    <xf numFmtId="49" fontId="16" fillId="33" borderId="11" xfId="0" applyNumberFormat="1" applyFont="1" applyFill="1" applyBorder="1" applyAlignment="1">
      <alignment horizontal="center" vertical="center"/>
    </xf>
    <xf numFmtId="49" fontId="16" fillId="33" borderId="12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/>
    </xf>
    <xf numFmtId="187" fontId="13" fillId="0" borderId="19" xfId="33" applyNumberFormat="1" applyFont="1" applyBorder="1" applyAlignment="1">
      <alignment horizontal="center"/>
    </xf>
    <xf numFmtId="187" fontId="13" fillId="0" borderId="0" xfId="33" applyNumberFormat="1" applyFont="1" applyBorder="1" applyAlignment="1">
      <alignment horizontal="center"/>
    </xf>
    <xf numFmtId="187" fontId="13" fillId="0" borderId="17" xfId="33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center"/>
    </xf>
    <xf numFmtId="4" fontId="11" fillId="0" borderId="0" xfId="0" applyNumberFormat="1" applyFont="1" applyFill="1" applyAlignment="1">
      <alignment vertical="top"/>
    </xf>
    <xf numFmtId="49" fontId="4" fillId="0" borderId="25" xfId="0" applyNumberFormat="1" applyFont="1" applyBorder="1" applyAlignment="1">
      <alignment horizontal="justify" vertical="top"/>
    </xf>
    <xf numFmtId="188" fontId="4" fillId="0" borderId="25" xfId="33" applyNumberFormat="1" applyFont="1" applyFill="1" applyBorder="1" applyAlignment="1">
      <alignment horizontal="right" vertical="top"/>
    </xf>
    <xf numFmtId="0" fontId="23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87" fontId="13" fillId="0" borderId="13" xfId="33" applyNumberFormat="1" applyFont="1" applyBorder="1" applyAlignment="1">
      <alignment horizontal="center" vertical="top"/>
    </xf>
    <xf numFmtId="187" fontId="13" fillId="0" borderId="17" xfId="33" applyNumberFormat="1" applyFont="1" applyBorder="1" applyAlignment="1">
      <alignment horizontal="center" vertical="top"/>
    </xf>
    <xf numFmtId="187" fontId="15" fillId="0" borderId="17" xfId="33" applyNumberFormat="1" applyFont="1" applyBorder="1" applyAlignment="1">
      <alignment horizontal="center" vertical="top"/>
    </xf>
    <xf numFmtId="0" fontId="15" fillId="34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" fontId="7" fillId="0" borderId="11" xfId="33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3" fontId="4" fillId="0" borderId="0" xfId="33" applyFont="1" applyFill="1" applyAlignment="1">
      <alignment vertical="top"/>
    </xf>
    <xf numFmtId="189" fontId="4" fillId="0" borderId="0" xfId="33" applyNumberFormat="1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4" fontId="57" fillId="0" borderId="10" xfId="33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43" fontId="7" fillId="0" borderId="13" xfId="33" applyFont="1" applyFill="1" applyBorder="1" applyAlignment="1">
      <alignment vertical="top"/>
    </xf>
    <xf numFmtId="4" fontId="7" fillId="0" borderId="12" xfId="33" applyNumberFormat="1" applyFont="1" applyFill="1" applyBorder="1" applyAlignment="1">
      <alignment vertical="top"/>
    </xf>
    <xf numFmtId="188" fontId="4" fillId="0" borderId="25" xfId="33" applyNumberFormat="1" applyFont="1" applyFill="1" applyBorder="1" applyAlignment="1">
      <alignment vertical="top"/>
    </xf>
    <xf numFmtId="187" fontId="12" fillId="0" borderId="11" xfId="33" applyNumberFormat="1" applyFont="1" applyBorder="1" applyAlignment="1">
      <alignment/>
    </xf>
    <xf numFmtId="0" fontId="20" fillId="0" borderId="11" xfId="0" applyFont="1" applyBorder="1" applyAlignment="1">
      <alignment vertical="top"/>
    </xf>
    <xf numFmtId="43" fontId="12" fillId="0" borderId="12" xfId="33" applyFont="1" applyBorder="1" applyAlignment="1">
      <alignment/>
    </xf>
    <xf numFmtId="43" fontId="3" fillId="0" borderId="30" xfId="33" applyFont="1" applyFill="1" applyBorder="1" applyAlignment="1">
      <alignment horizontal="center" vertical="top"/>
    </xf>
    <xf numFmtId="43" fontId="3" fillId="0" borderId="10" xfId="33" applyFont="1" applyFill="1" applyBorder="1" applyAlignment="1">
      <alignment vertical="top"/>
    </xf>
    <xf numFmtId="43" fontId="3" fillId="0" borderId="12" xfId="33" applyFont="1" applyFill="1" applyBorder="1" applyAlignment="1">
      <alignment vertical="top"/>
    </xf>
    <xf numFmtId="43" fontId="6" fillId="0" borderId="12" xfId="33" applyFont="1" applyFill="1" applyBorder="1" applyAlignment="1">
      <alignment vertical="top"/>
    </xf>
    <xf numFmtId="4" fontId="4" fillId="0" borderId="19" xfId="33" applyNumberFormat="1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43" fontId="15" fillId="0" borderId="0" xfId="33" applyNumberFormat="1" applyFont="1" applyAlignment="1">
      <alignment/>
    </xf>
    <xf numFmtId="43" fontId="15" fillId="35" borderId="10" xfId="33" applyNumberFormat="1" applyFont="1" applyFill="1" applyBorder="1" applyAlignment="1">
      <alignment horizontal="center"/>
    </xf>
    <xf numFmtId="43" fontId="15" fillId="34" borderId="10" xfId="33" applyNumberFormat="1" applyFont="1" applyFill="1" applyBorder="1" applyAlignment="1">
      <alignment/>
    </xf>
    <xf numFmtId="43" fontId="15" fillId="34" borderId="10" xfId="0" applyNumberFormat="1" applyFont="1" applyFill="1" applyBorder="1" applyAlignment="1">
      <alignment/>
    </xf>
    <xf numFmtId="43" fontId="15" fillId="35" borderId="10" xfId="33" applyNumberFormat="1" applyFont="1" applyFill="1" applyBorder="1" applyAlignment="1">
      <alignment horizontal="center" vertical="center"/>
    </xf>
    <xf numFmtId="43" fontId="15" fillId="0" borderId="0" xfId="33" applyNumberFormat="1" applyFont="1" applyAlignment="1">
      <alignment horizontal="center"/>
    </xf>
    <xf numFmtId="43" fontId="15" fillId="34" borderId="10" xfId="33" applyNumberFormat="1" applyFont="1" applyFill="1" applyBorder="1" applyAlignment="1">
      <alignment horizontal="center"/>
    </xf>
    <xf numFmtId="43" fontId="15" fillId="0" borderId="0" xfId="33" applyNumberFormat="1" applyFont="1" applyAlignment="1">
      <alignment/>
    </xf>
    <xf numFmtId="4" fontId="2" fillId="0" borderId="0" xfId="33" applyNumberFormat="1" applyFont="1" applyFill="1" applyBorder="1" applyAlignment="1">
      <alignment horizontal="center" vertical="center"/>
    </xf>
    <xf numFmtId="4" fontId="2" fillId="0" borderId="0" xfId="33" applyNumberFormat="1" applyFont="1" applyFill="1" applyBorder="1" applyAlignment="1">
      <alignment horizontal="center" vertical="top"/>
    </xf>
    <xf numFmtId="43" fontId="3" fillId="0" borderId="10" xfId="33" applyFont="1" applyFill="1" applyBorder="1" applyAlignment="1">
      <alignment horizontal="center" vertical="top"/>
    </xf>
    <xf numFmtId="187" fontId="12" fillId="33" borderId="31" xfId="33" applyNumberFormat="1" applyFont="1" applyFill="1" applyBorder="1" applyAlignment="1">
      <alignment horizontal="center"/>
    </xf>
    <xf numFmtId="187" fontId="12" fillId="33" borderId="16" xfId="33" applyNumberFormat="1" applyFont="1" applyFill="1" applyBorder="1" applyAlignment="1">
      <alignment horizontal="center"/>
    </xf>
    <xf numFmtId="187" fontId="12" fillId="33" borderId="28" xfId="33" applyNumberFormat="1" applyFont="1" applyFill="1" applyBorder="1" applyAlignment="1">
      <alignment horizontal="center"/>
    </xf>
    <xf numFmtId="187" fontId="12" fillId="0" borderId="0" xfId="33" applyNumberFormat="1" applyFont="1" applyBorder="1" applyAlignment="1">
      <alignment horizontal="center"/>
    </xf>
    <xf numFmtId="187" fontId="12" fillId="0" borderId="0" xfId="33" applyNumberFormat="1" applyFont="1" applyAlignment="1">
      <alignment horizontal="center"/>
    </xf>
    <xf numFmtId="187" fontId="12" fillId="0" borderId="20" xfId="33" applyNumberFormat="1" applyFont="1" applyBorder="1" applyAlignment="1">
      <alignment horizontal="right"/>
    </xf>
    <xf numFmtId="187" fontId="7" fillId="0" borderId="0" xfId="33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zoomScale="90" zoomScaleNormal="90" zoomScalePageLayoutView="0" workbookViewId="0" topLeftCell="A25">
      <selection activeCell="D19" sqref="D19"/>
    </sheetView>
  </sheetViews>
  <sheetFormatPr defaultColWidth="9.140625" defaultRowHeight="15"/>
  <cols>
    <col min="1" max="1" width="10.57421875" style="16" customWidth="1"/>
    <col min="2" max="2" width="9.00390625" style="16" customWidth="1"/>
    <col min="3" max="3" width="9.421875" style="16" customWidth="1"/>
    <col min="4" max="4" width="11.28125" style="16" customWidth="1"/>
    <col min="5" max="5" width="26.8515625" style="16" customWidth="1"/>
    <col min="6" max="6" width="9.00390625" style="109" customWidth="1"/>
    <col min="7" max="7" width="11.140625" style="16" customWidth="1"/>
    <col min="8" max="14" width="9.57421875" style="20" customWidth="1"/>
    <col min="15" max="15" width="9.57421875" style="235" customWidth="1"/>
    <col min="16" max="16" width="9.57421875" style="20" customWidth="1"/>
    <col min="17" max="18" width="9.57421875" style="109" customWidth="1"/>
    <col min="19" max="19" width="9.57421875" style="20" customWidth="1"/>
    <col min="20" max="16384" width="9.00390625" style="1" customWidth="1"/>
  </cols>
  <sheetData>
    <row r="1" spans="1:7" ht="18.75">
      <c r="A1" s="249" t="s">
        <v>91</v>
      </c>
      <c r="B1" s="249"/>
      <c r="C1" s="249"/>
      <c r="D1" s="249"/>
      <c r="E1" s="249"/>
      <c r="F1" s="249"/>
      <c r="G1" s="249"/>
    </row>
    <row r="2" spans="1:7" ht="18.75">
      <c r="A2" s="249" t="s">
        <v>21</v>
      </c>
      <c r="B2" s="249"/>
      <c r="C2" s="249"/>
      <c r="D2" s="249"/>
      <c r="E2" s="249"/>
      <c r="F2" s="249"/>
      <c r="G2" s="249"/>
    </row>
    <row r="3" spans="1:7" ht="18.75">
      <c r="A3" s="250" t="s">
        <v>186</v>
      </c>
      <c r="B3" s="250"/>
      <c r="C3" s="250"/>
      <c r="D3" s="250"/>
      <c r="E3" s="250"/>
      <c r="F3" s="250"/>
      <c r="G3" s="250"/>
    </row>
    <row r="4" spans="1:7" ht="18.75">
      <c r="A4" s="250" t="s">
        <v>270</v>
      </c>
      <c r="B4" s="250"/>
      <c r="C4" s="250"/>
      <c r="D4" s="250"/>
      <c r="E4" s="250"/>
      <c r="F4" s="250"/>
      <c r="G4" s="250"/>
    </row>
    <row r="5" spans="1:7" ht="18.75">
      <c r="A5" s="251"/>
      <c r="B5" s="251"/>
      <c r="C5" s="251"/>
      <c r="D5" s="251"/>
      <c r="E5" s="251"/>
      <c r="F5" s="251"/>
      <c r="G5" s="251"/>
    </row>
    <row r="6" spans="1:7" ht="18.75">
      <c r="A6" s="246" t="s">
        <v>22</v>
      </c>
      <c r="B6" s="247"/>
      <c r="C6" s="247"/>
      <c r="D6" s="248"/>
      <c r="E6" s="3"/>
      <c r="F6" s="190"/>
      <c r="G6" s="2" t="s">
        <v>23</v>
      </c>
    </row>
    <row r="7" spans="1:7" ht="18.75">
      <c r="A7" s="4" t="s">
        <v>24</v>
      </c>
      <c r="B7" s="4" t="s">
        <v>12</v>
      </c>
      <c r="C7" s="4" t="s">
        <v>17</v>
      </c>
      <c r="D7" s="4" t="s">
        <v>25</v>
      </c>
      <c r="E7" s="5" t="s">
        <v>19</v>
      </c>
      <c r="F7" s="191" t="s">
        <v>26</v>
      </c>
      <c r="G7" s="4" t="s">
        <v>25</v>
      </c>
    </row>
    <row r="8" spans="1:7" ht="18.75">
      <c r="A8" s="6" t="s">
        <v>27</v>
      </c>
      <c r="B8" s="175" t="s">
        <v>111</v>
      </c>
      <c r="C8" s="6" t="s">
        <v>103</v>
      </c>
      <c r="D8" s="6" t="s">
        <v>27</v>
      </c>
      <c r="E8" s="7"/>
      <c r="F8" s="192" t="s">
        <v>28</v>
      </c>
      <c r="G8" s="6" t="s">
        <v>27</v>
      </c>
    </row>
    <row r="9" spans="1:19" ht="18.75">
      <c r="A9" s="8"/>
      <c r="B9" s="8"/>
      <c r="C9" s="8"/>
      <c r="D9" s="225">
        <v>13701025.72</v>
      </c>
      <c r="E9" s="226" t="s">
        <v>20</v>
      </c>
      <c r="F9" s="29"/>
      <c r="G9" s="227">
        <v>17381871.92</v>
      </c>
      <c r="H9" s="152" t="s">
        <v>29</v>
      </c>
      <c r="I9" s="152" t="s">
        <v>30</v>
      </c>
      <c r="J9" s="152" t="s">
        <v>31</v>
      </c>
      <c r="K9" s="152" t="s">
        <v>32</v>
      </c>
      <c r="L9" s="152" t="s">
        <v>33</v>
      </c>
      <c r="M9" s="152" t="s">
        <v>34</v>
      </c>
      <c r="N9" s="152" t="s">
        <v>35</v>
      </c>
      <c r="O9" s="236" t="s">
        <v>36</v>
      </c>
      <c r="P9" s="152" t="s">
        <v>37</v>
      </c>
      <c r="Q9" s="153" t="s">
        <v>38</v>
      </c>
      <c r="R9" s="153" t="s">
        <v>39</v>
      </c>
      <c r="S9" s="152" t="s">
        <v>40</v>
      </c>
    </row>
    <row r="10" spans="1:19" ht="18.75">
      <c r="A10" s="9"/>
      <c r="B10" s="9"/>
      <c r="C10" s="9"/>
      <c r="D10" s="10"/>
      <c r="E10" s="188" t="s">
        <v>215</v>
      </c>
      <c r="F10" s="30"/>
      <c r="G10" s="10"/>
      <c r="H10" s="12"/>
      <c r="I10" s="12"/>
      <c r="J10" s="12"/>
      <c r="K10" s="12"/>
      <c r="L10" s="12"/>
      <c r="M10" s="12"/>
      <c r="N10" s="12"/>
      <c r="O10" s="237"/>
      <c r="P10" s="12"/>
      <c r="Q10" s="154"/>
      <c r="R10" s="154"/>
      <c r="S10" s="12"/>
    </row>
    <row r="11" spans="1:22" ht="18.75">
      <c r="A11" s="22">
        <v>558600</v>
      </c>
      <c r="B11" s="9"/>
      <c r="C11" s="22">
        <f>SUM(D11)</f>
        <v>565894.0100000001</v>
      </c>
      <c r="D11" s="23">
        <f aca="true" t="shared" si="0" ref="D11:D17">SUM(H11:S11)</f>
        <v>565894.0100000001</v>
      </c>
      <c r="E11" s="179" t="s">
        <v>41</v>
      </c>
      <c r="F11" s="30" t="s">
        <v>145</v>
      </c>
      <c r="G11" s="22">
        <f>SUM(P11)</f>
        <v>465.04</v>
      </c>
      <c r="H11" s="12"/>
      <c r="I11" s="154">
        <v>0</v>
      </c>
      <c r="J11" s="154">
        <v>0</v>
      </c>
      <c r="K11" s="154">
        <v>17999.23</v>
      </c>
      <c r="L11" s="154">
        <v>47248.11</v>
      </c>
      <c r="M11" s="154">
        <v>364820.43</v>
      </c>
      <c r="N11" s="154">
        <v>117757.06</v>
      </c>
      <c r="O11" s="238">
        <v>17604.14</v>
      </c>
      <c r="P11" s="154">
        <v>465.04</v>
      </c>
      <c r="Q11" s="154">
        <v>0</v>
      </c>
      <c r="R11" s="154">
        <v>0</v>
      </c>
      <c r="S11" s="154">
        <v>0</v>
      </c>
      <c r="V11" s="137" t="s">
        <v>41</v>
      </c>
    </row>
    <row r="12" spans="1:22" ht="18.75">
      <c r="A12" s="22">
        <v>2144910</v>
      </c>
      <c r="B12" s="9"/>
      <c r="C12" s="22">
        <f aca="true" t="shared" si="1" ref="C12:C18">SUM(D12)</f>
        <v>1658657.55</v>
      </c>
      <c r="D12" s="23">
        <f t="shared" si="0"/>
        <v>1658657.55</v>
      </c>
      <c r="E12" s="179" t="s">
        <v>42</v>
      </c>
      <c r="F12" s="30" t="s">
        <v>146</v>
      </c>
      <c r="G12" s="22">
        <f>SUM(P12)</f>
        <v>236797.45</v>
      </c>
      <c r="H12" s="12">
        <f>745.9</f>
        <v>745.9</v>
      </c>
      <c r="I12" s="154">
        <v>190000.9</v>
      </c>
      <c r="J12" s="154">
        <v>154433.4</v>
      </c>
      <c r="K12" s="154">
        <v>238922.5</v>
      </c>
      <c r="L12" s="154">
        <v>293782.9</v>
      </c>
      <c r="M12" s="154">
        <v>166102</v>
      </c>
      <c r="N12" s="154">
        <v>160444.9</v>
      </c>
      <c r="O12" s="238">
        <v>217427.6</v>
      </c>
      <c r="P12" s="154">
        <v>236797.45</v>
      </c>
      <c r="Q12" s="154">
        <v>0</v>
      </c>
      <c r="R12" s="154">
        <v>0</v>
      </c>
      <c r="S12" s="154">
        <v>0</v>
      </c>
      <c r="V12" s="137" t="s">
        <v>42</v>
      </c>
    </row>
    <row r="13" spans="1:22" ht="18.75">
      <c r="A13" s="22">
        <v>704000</v>
      </c>
      <c r="B13" s="9"/>
      <c r="C13" s="22">
        <f t="shared" si="1"/>
        <v>49466.54</v>
      </c>
      <c r="D13" s="23">
        <f t="shared" si="0"/>
        <v>49466.54</v>
      </c>
      <c r="E13" s="179" t="s">
        <v>208</v>
      </c>
      <c r="F13" s="30" t="s">
        <v>147</v>
      </c>
      <c r="G13" s="22">
        <f aca="true" t="shared" si="2" ref="G13:G19">SUM(P13)</f>
        <v>0</v>
      </c>
      <c r="H13" s="12"/>
      <c r="I13" s="154">
        <v>0</v>
      </c>
      <c r="J13" s="154">
        <v>0</v>
      </c>
      <c r="K13" s="154">
        <v>40379.83</v>
      </c>
      <c r="L13" s="154">
        <v>0</v>
      </c>
      <c r="M13" s="154">
        <v>9086.71</v>
      </c>
      <c r="N13" s="154">
        <v>0</v>
      </c>
      <c r="O13" s="238">
        <v>0</v>
      </c>
      <c r="P13" s="154">
        <v>0</v>
      </c>
      <c r="Q13" s="154">
        <v>0</v>
      </c>
      <c r="R13" s="154">
        <v>0</v>
      </c>
      <c r="S13" s="154">
        <v>0</v>
      </c>
      <c r="V13" s="137" t="s">
        <v>43</v>
      </c>
    </row>
    <row r="14" spans="1:22" ht="18.75">
      <c r="A14" s="22">
        <v>350000</v>
      </c>
      <c r="B14" s="9"/>
      <c r="C14" s="22">
        <f t="shared" si="1"/>
        <v>364566</v>
      </c>
      <c r="D14" s="22">
        <f>SUM(H14:S14)</f>
        <v>364566</v>
      </c>
      <c r="E14" s="179" t="s">
        <v>44</v>
      </c>
      <c r="F14" s="30" t="s">
        <v>148</v>
      </c>
      <c r="G14" s="22">
        <f t="shared" si="2"/>
        <v>65890</v>
      </c>
      <c r="H14" s="12">
        <f>47212</f>
        <v>47212</v>
      </c>
      <c r="I14" s="154">
        <v>46678</v>
      </c>
      <c r="J14" s="154">
        <v>30692</v>
      </c>
      <c r="K14" s="154">
        <v>0</v>
      </c>
      <c r="L14" s="154">
        <v>40248</v>
      </c>
      <c r="M14" s="154">
        <v>53810</v>
      </c>
      <c r="N14" s="154">
        <v>49944</v>
      </c>
      <c r="O14" s="238">
        <v>30092</v>
      </c>
      <c r="P14" s="154">
        <v>65890</v>
      </c>
      <c r="Q14" s="154">
        <v>0</v>
      </c>
      <c r="R14" s="154">
        <v>0</v>
      </c>
      <c r="S14" s="154">
        <v>0</v>
      </c>
      <c r="U14" s="11">
        <f>SUM(D14)</f>
        <v>364566</v>
      </c>
      <c r="V14" s="137" t="s">
        <v>44</v>
      </c>
    </row>
    <row r="15" spans="1:22" ht="18.75">
      <c r="A15" s="22">
        <v>44500</v>
      </c>
      <c r="B15" s="9"/>
      <c r="C15" s="22">
        <f t="shared" si="1"/>
        <v>8672.5</v>
      </c>
      <c r="D15" s="22">
        <f t="shared" si="0"/>
        <v>8672.5</v>
      </c>
      <c r="E15" s="179" t="s">
        <v>45</v>
      </c>
      <c r="F15" s="30" t="s">
        <v>149</v>
      </c>
      <c r="G15" s="22">
        <f t="shared" si="2"/>
        <v>4950</v>
      </c>
      <c r="H15" s="12">
        <v>0</v>
      </c>
      <c r="I15" s="154">
        <v>700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238">
        <v>3022.5</v>
      </c>
      <c r="P15" s="154">
        <v>4950</v>
      </c>
      <c r="Q15" s="154">
        <v>0</v>
      </c>
      <c r="R15" s="154">
        <v>0</v>
      </c>
      <c r="S15" s="154">
        <v>0</v>
      </c>
      <c r="V15" s="137" t="s">
        <v>45</v>
      </c>
    </row>
    <row r="16" spans="1:22" ht="18.75">
      <c r="A16" s="22">
        <v>3500</v>
      </c>
      <c r="B16" s="9"/>
      <c r="C16" s="22">
        <f t="shared" si="1"/>
        <v>0</v>
      </c>
      <c r="D16" s="22">
        <f t="shared" si="0"/>
        <v>0</v>
      </c>
      <c r="E16" s="179" t="s">
        <v>108</v>
      </c>
      <c r="F16" s="30" t="s">
        <v>150</v>
      </c>
      <c r="G16" s="22">
        <f t="shared" si="2"/>
        <v>0</v>
      </c>
      <c r="H16" s="12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238">
        <v>0</v>
      </c>
      <c r="P16" s="154"/>
      <c r="Q16" s="154">
        <v>0</v>
      </c>
      <c r="R16" s="154">
        <v>0</v>
      </c>
      <c r="S16" s="154">
        <v>0</v>
      </c>
      <c r="V16" s="137" t="s">
        <v>108</v>
      </c>
    </row>
    <row r="17" spans="1:22" ht="18.75">
      <c r="A17" s="22">
        <v>11477000</v>
      </c>
      <c r="B17" s="9"/>
      <c r="C17" s="22">
        <f t="shared" si="1"/>
        <v>11105199.629999999</v>
      </c>
      <c r="D17" s="22">
        <f t="shared" si="0"/>
        <v>11105199.629999999</v>
      </c>
      <c r="E17" s="179" t="s">
        <v>46</v>
      </c>
      <c r="F17" s="30" t="s">
        <v>151</v>
      </c>
      <c r="G17" s="22">
        <f t="shared" si="2"/>
        <v>1244571.98</v>
      </c>
      <c r="H17" s="12">
        <f>80335</f>
        <v>80335</v>
      </c>
      <c r="I17" s="154">
        <v>2165013.3</v>
      </c>
      <c r="J17" s="154">
        <v>1282659.14</v>
      </c>
      <c r="K17" s="154">
        <v>1221763.47</v>
      </c>
      <c r="L17" s="154">
        <v>1222106.8</v>
      </c>
      <c r="M17" s="154">
        <v>1113856.12</v>
      </c>
      <c r="N17" s="154">
        <v>1358217.19</v>
      </c>
      <c r="O17" s="238">
        <v>1416676.63</v>
      </c>
      <c r="P17" s="154">
        <v>1244571.98</v>
      </c>
      <c r="Q17" s="154">
        <v>0</v>
      </c>
      <c r="R17" s="154">
        <v>0</v>
      </c>
      <c r="S17" s="154">
        <v>0</v>
      </c>
      <c r="V17" s="137" t="s">
        <v>46</v>
      </c>
    </row>
    <row r="18" spans="1:22" ht="18.75">
      <c r="A18" s="22">
        <v>15460000</v>
      </c>
      <c r="B18" s="9"/>
      <c r="C18" s="22">
        <f t="shared" si="1"/>
        <v>12392900</v>
      </c>
      <c r="D18" s="22">
        <f>SUM(H18:S18)</f>
        <v>12392900</v>
      </c>
      <c r="E18" s="179" t="s">
        <v>47</v>
      </c>
      <c r="F18" s="30" t="s">
        <v>152</v>
      </c>
      <c r="G18" s="22">
        <f t="shared" si="2"/>
        <v>500841</v>
      </c>
      <c r="H18" s="12">
        <v>0</v>
      </c>
      <c r="I18" s="154">
        <v>4745921</v>
      </c>
      <c r="J18" s="154">
        <v>3444628</v>
      </c>
      <c r="K18" s="154">
        <v>834027</v>
      </c>
      <c r="L18" s="154">
        <v>0</v>
      </c>
      <c r="M18" s="154">
        <v>5940</v>
      </c>
      <c r="N18" s="154">
        <v>2861543</v>
      </c>
      <c r="O18" s="238">
        <v>0</v>
      </c>
      <c r="P18" s="154">
        <v>500841</v>
      </c>
      <c r="Q18" s="154">
        <v>0</v>
      </c>
      <c r="R18" s="154">
        <v>0</v>
      </c>
      <c r="S18" s="154">
        <v>0</v>
      </c>
      <c r="U18" s="13">
        <f>SUM(G20-1996432.07)</f>
        <v>57083.39999999991</v>
      </c>
      <c r="V18" s="137" t="s">
        <v>47</v>
      </c>
    </row>
    <row r="19" spans="1:22" ht="18.75">
      <c r="A19" s="22"/>
      <c r="B19" s="9">
        <f>SUM(H19:S19)</f>
        <v>0</v>
      </c>
      <c r="C19" s="22">
        <f>SUM(H19:S19)</f>
        <v>0</v>
      </c>
      <c r="D19" s="22"/>
      <c r="E19" s="179" t="s">
        <v>112</v>
      </c>
      <c r="F19" s="30" t="s">
        <v>153</v>
      </c>
      <c r="G19" s="22">
        <f t="shared" si="2"/>
        <v>0</v>
      </c>
      <c r="H19" s="12"/>
      <c r="I19" s="12"/>
      <c r="J19" s="12"/>
      <c r="K19" s="12"/>
      <c r="L19" s="12">
        <v>0</v>
      </c>
      <c r="M19" s="12"/>
      <c r="N19" s="12">
        <v>0</v>
      </c>
      <c r="O19" s="237">
        <v>0</v>
      </c>
      <c r="P19" s="12">
        <v>0</v>
      </c>
      <c r="Q19" s="154"/>
      <c r="R19" s="154">
        <v>0</v>
      </c>
      <c r="S19" s="12">
        <v>0</v>
      </c>
      <c r="U19" s="13"/>
      <c r="V19" s="137" t="s">
        <v>112</v>
      </c>
    </row>
    <row r="20" spans="1:19" ht="19.5" thickBot="1">
      <c r="A20" s="24">
        <f>SUM(A9:A18)</f>
        <v>30742510</v>
      </c>
      <c r="B20" s="14">
        <f>SUM(B19)</f>
        <v>0</v>
      </c>
      <c r="C20" s="24">
        <f>SUM(C11:C19)</f>
        <v>26145356.229999997</v>
      </c>
      <c r="D20" s="25">
        <f>SUM(D11:D18)</f>
        <v>26145356.229999997</v>
      </c>
      <c r="E20" s="178"/>
      <c r="F20" s="30"/>
      <c r="G20" s="25">
        <f>SUM(G11+G12+G13+G14+G15+G16+G17+G18)</f>
        <v>2053515.47</v>
      </c>
      <c r="H20" s="152" t="s">
        <v>29</v>
      </c>
      <c r="I20" s="152" t="s">
        <v>30</v>
      </c>
      <c r="J20" s="152" t="s">
        <v>31</v>
      </c>
      <c r="K20" s="152" t="s">
        <v>32</v>
      </c>
      <c r="L20" s="152" t="s">
        <v>33</v>
      </c>
      <c r="M20" s="152" t="s">
        <v>34</v>
      </c>
      <c r="N20" s="152" t="s">
        <v>35</v>
      </c>
      <c r="O20" s="239" t="s">
        <v>36</v>
      </c>
      <c r="P20" s="152" t="s">
        <v>37</v>
      </c>
      <c r="Q20" s="153" t="s">
        <v>38</v>
      </c>
      <c r="R20" s="153" t="s">
        <v>39</v>
      </c>
      <c r="S20" s="152" t="s">
        <v>40</v>
      </c>
    </row>
    <row r="21" spans="1:22" ht="19.5" thickTop="1">
      <c r="A21" s="15"/>
      <c r="B21" s="15"/>
      <c r="C21" s="15"/>
      <c r="D21" s="10">
        <f>SUM(H21:S21)</f>
        <v>0</v>
      </c>
      <c r="E21" s="189" t="s">
        <v>94</v>
      </c>
      <c r="F21" s="139"/>
      <c r="G21" s="22">
        <f>SUM(P21)</f>
        <v>0</v>
      </c>
      <c r="H21" s="12"/>
      <c r="I21" s="12">
        <v>0</v>
      </c>
      <c r="J21" s="12"/>
      <c r="K21" s="12">
        <v>0</v>
      </c>
      <c r="L21" s="12"/>
      <c r="M21" s="12"/>
      <c r="N21" s="12">
        <v>0</v>
      </c>
      <c r="O21" s="237">
        <v>0</v>
      </c>
      <c r="P21" s="12">
        <v>0</v>
      </c>
      <c r="Q21" s="154">
        <v>0</v>
      </c>
      <c r="R21" s="154"/>
      <c r="S21" s="12"/>
      <c r="U21" s="13">
        <f>SUM(G20-1996432.07)-2089.65</f>
        <v>54993.749999999905</v>
      </c>
      <c r="V21" s="138" t="s">
        <v>94</v>
      </c>
    </row>
    <row r="22" spans="1:22" ht="18.75">
      <c r="A22" s="15"/>
      <c r="B22" s="15"/>
      <c r="C22" s="15"/>
      <c r="D22" s="10">
        <f>SUM(H22:S22)</f>
        <v>2151000</v>
      </c>
      <c r="E22" s="189" t="s">
        <v>107</v>
      </c>
      <c r="F22" s="139" t="s">
        <v>125</v>
      </c>
      <c r="G22" s="22">
        <f>SUM(P22)</f>
        <v>0</v>
      </c>
      <c r="H22" s="12">
        <f>1495000</f>
        <v>1495000</v>
      </c>
      <c r="I22" s="12">
        <v>0</v>
      </c>
      <c r="J22" s="12">
        <v>0</v>
      </c>
      <c r="K22" s="12">
        <v>0</v>
      </c>
      <c r="L22" s="12">
        <v>656000</v>
      </c>
      <c r="M22" s="12">
        <v>0</v>
      </c>
      <c r="N22" s="12">
        <v>0</v>
      </c>
      <c r="O22" s="237">
        <v>0</v>
      </c>
      <c r="P22" s="12">
        <v>0</v>
      </c>
      <c r="Q22" s="12">
        <v>0</v>
      </c>
      <c r="R22" s="12">
        <v>0</v>
      </c>
      <c r="S22" s="12">
        <v>0</v>
      </c>
      <c r="U22" s="13"/>
      <c r="V22" s="138" t="s">
        <v>107</v>
      </c>
    </row>
    <row r="23" spans="1:22" ht="18.75">
      <c r="A23" s="15"/>
      <c r="B23" s="15"/>
      <c r="C23" s="15"/>
      <c r="D23" s="10">
        <f>SUM(H23:S23)</f>
        <v>5625</v>
      </c>
      <c r="E23" s="189" t="s">
        <v>248</v>
      </c>
      <c r="F23" s="139" t="s">
        <v>198</v>
      </c>
      <c r="G23" s="22">
        <f aca="true" t="shared" si="3" ref="G23:G31">SUM(P23)</f>
        <v>0</v>
      </c>
      <c r="H23" s="12"/>
      <c r="I23" s="12"/>
      <c r="J23" s="12"/>
      <c r="K23" s="12">
        <v>1125</v>
      </c>
      <c r="L23" s="12">
        <v>0</v>
      </c>
      <c r="M23" s="12">
        <v>4500</v>
      </c>
      <c r="N23" s="12">
        <v>0</v>
      </c>
      <c r="O23" s="237"/>
      <c r="P23" s="12"/>
      <c r="Q23" s="12"/>
      <c r="R23" s="12"/>
      <c r="S23" s="12"/>
      <c r="U23" s="13"/>
      <c r="V23" s="138"/>
    </row>
    <row r="24" spans="1:22" ht="18.75">
      <c r="A24" s="15"/>
      <c r="B24" s="15"/>
      <c r="C24" s="15"/>
      <c r="D24" s="10">
        <f>SUM(H24+I24+J24+K24+L24+M24+N24+O24+P24+Q24+R24+S24)</f>
        <v>298238</v>
      </c>
      <c r="E24" s="189" t="s">
        <v>212</v>
      </c>
      <c r="F24" s="139" t="s">
        <v>120</v>
      </c>
      <c r="G24" s="22">
        <f t="shared" si="3"/>
        <v>74210</v>
      </c>
      <c r="H24" s="12">
        <v>42546</v>
      </c>
      <c r="I24" s="12">
        <v>40832</v>
      </c>
      <c r="J24" s="12">
        <v>22788</v>
      </c>
      <c r="K24" s="12">
        <v>7154</v>
      </c>
      <c r="L24" s="12">
        <v>34650</v>
      </c>
      <c r="M24" s="12">
        <v>10970</v>
      </c>
      <c r="N24" s="12">
        <v>10626</v>
      </c>
      <c r="O24" s="237">
        <v>54462</v>
      </c>
      <c r="P24" s="12">
        <v>74210</v>
      </c>
      <c r="Q24" s="12">
        <v>0</v>
      </c>
      <c r="R24" s="12">
        <v>0</v>
      </c>
      <c r="S24" s="12">
        <v>0</v>
      </c>
      <c r="V24" s="138" t="s">
        <v>100</v>
      </c>
    </row>
    <row r="25" spans="1:22" ht="18.75">
      <c r="A25" s="15"/>
      <c r="B25" s="15"/>
      <c r="C25" s="15"/>
      <c r="D25" s="10">
        <f>SUM(H25+I25+J25+K25+L25+M25+N25+O25+P25+Q25+R25+S25)</f>
        <v>177648.05</v>
      </c>
      <c r="E25" s="189" t="s">
        <v>216</v>
      </c>
      <c r="F25" s="139" t="s">
        <v>120</v>
      </c>
      <c r="G25" s="22">
        <f t="shared" si="3"/>
        <v>0</v>
      </c>
      <c r="H25" s="12">
        <v>177648.05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37">
        <v>0</v>
      </c>
      <c r="P25" s="12">
        <v>0</v>
      </c>
      <c r="Q25" s="12">
        <v>0</v>
      </c>
      <c r="R25" s="12">
        <v>0</v>
      </c>
      <c r="S25" s="12">
        <v>0</v>
      </c>
      <c r="V25" s="138" t="s">
        <v>100</v>
      </c>
    </row>
    <row r="26" spans="1:22" ht="18.75">
      <c r="A26" s="15"/>
      <c r="B26" s="15"/>
      <c r="C26" s="15"/>
      <c r="D26" s="10">
        <f>SUM(H26:S26)</f>
        <v>613952</v>
      </c>
      <c r="E26" s="189" t="s">
        <v>96</v>
      </c>
      <c r="F26" s="139" t="s">
        <v>154</v>
      </c>
      <c r="G26" s="22">
        <f t="shared" si="3"/>
        <v>0</v>
      </c>
      <c r="H26" s="12" t="s">
        <v>190</v>
      </c>
      <c r="I26" s="12">
        <v>262000</v>
      </c>
      <c r="J26" s="12">
        <v>0</v>
      </c>
      <c r="K26" s="12">
        <v>0</v>
      </c>
      <c r="L26" s="12">
        <v>0</v>
      </c>
      <c r="M26" s="12">
        <f>314400+4052+20000</f>
        <v>338452</v>
      </c>
      <c r="N26" s="12">
        <v>13500</v>
      </c>
      <c r="O26" s="237">
        <v>0</v>
      </c>
      <c r="P26" s="12">
        <v>0</v>
      </c>
      <c r="Q26" s="12">
        <v>0</v>
      </c>
      <c r="R26" s="12">
        <v>0</v>
      </c>
      <c r="S26" s="12">
        <v>0</v>
      </c>
      <c r="V26" s="138" t="s">
        <v>96</v>
      </c>
    </row>
    <row r="27" spans="1:22" ht="18.75">
      <c r="A27" s="15"/>
      <c r="B27" s="15"/>
      <c r="C27" s="15"/>
      <c r="D27" s="10">
        <f>SUM(H27:S27)</f>
        <v>0</v>
      </c>
      <c r="E27" s="189" t="s">
        <v>114</v>
      </c>
      <c r="F27" s="139" t="s">
        <v>124</v>
      </c>
      <c r="G27" s="22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237">
        <v>0</v>
      </c>
      <c r="P27" s="12">
        <v>0</v>
      </c>
      <c r="Q27" s="12">
        <v>0</v>
      </c>
      <c r="R27" s="12">
        <v>0</v>
      </c>
      <c r="S27" s="12">
        <v>0</v>
      </c>
      <c r="V27" s="138" t="s">
        <v>114</v>
      </c>
    </row>
    <row r="28" spans="1:22" ht="18.75">
      <c r="A28" s="15"/>
      <c r="B28" s="15"/>
      <c r="C28" s="15"/>
      <c r="D28" s="10">
        <f>SUM(H28+I28+J28+K28+L28+M28+N28+O28+P28+Q28+R28+S28)</f>
        <v>715349.16</v>
      </c>
      <c r="E28" s="189" t="s">
        <v>230</v>
      </c>
      <c r="F28" s="139" t="s">
        <v>213</v>
      </c>
      <c r="G28" s="22">
        <f t="shared" si="3"/>
        <v>13065.1</v>
      </c>
      <c r="H28" s="12">
        <v>14368.68</v>
      </c>
      <c r="I28" s="12">
        <v>97973.87</v>
      </c>
      <c r="J28" s="12">
        <v>15487.18</v>
      </c>
      <c r="K28" s="12">
        <f>2659.73+717.37+39350+9691</f>
        <v>52418.1</v>
      </c>
      <c r="L28" s="12">
        <v>50840.42</v>
      </c>
      <c r="M28" s="12">
        <v>58647.37</v>
      </c>
      <c r="N28" s="12">
        <v>13078.37</v>
      </c>
      <c r="O28" s="237">
        <v>399470.07</v>
      </c>
      <c r="P28" s="12">
        <v>13065.1</v>
      </c>
      <c r="Q28" s="12">
        <v>0</v>
      </c>
      <c r="R28" s="12">
        <v>0</v>
      </c>
      <c r="S28" s="12">
        <v>0</v>
      </c>
      <c r="V28" s="138" t="s">
        <v>160</v>
      </c>
    </row>
    <row r="29" spans="1:22" ht="18.75">
      <c r="A29" s="15"/>
      <c r="B29" s="15"/>
      <c r="C29" s="15"/>
      <c r="D29" s="10">
        <f>SUM(H29+I29+J29+K29+L29+M29+N29+O29+P29+Q29+R29+S29)</f>
        <v>11018.01</v>
      </c>
      <c r="E29" s="189" t="s">
        <v>48</v>
      </c>
      <c r="F29" s="139" t="s">
        <v>119</v>
      </c>
      <c r="G29" s="22">
        <f t="shared" si="3"/>
        <v>1000</v>
      </c>
      <c r="H29" s="12">
        <v>1000</v>
      </c>
      <c r="I29" s="12">
        <v>1000</v>
      </c>
      <c r="J29" s="12">
        <v>1000</v>
      </c>
      <c r="K29" s="12">
        <f>1000+1500</f>
        <v>2500</v>
      </c>
      <c r="L29" s="12">
        <v>1518.01</v>
      </c>
      <c r="M29" s="12">
        <v>1000</v>
      </c>
      <c r="N29" s="12">
        <v>1000</v>
      </c>
      <c r="O29" s="237">
        <v>1000</v>
      </c>
      <c r="P29" s="12">
        <v>1000</v>
      </c>
      <c r="Q29" s="12">
        <v>0</v>
      </c>
      <c r="R29" s="12">
        <v>0</v>
      </c>
      <c r="S29" s="12">
        <v>0</v>
      </c>
      <c r="V29" s="138" t="s">
        <v>48</v>
      </c>
    </row>
    <row r="30" spans="1:22" ht="18.75">
      <c r="A30" s="15"/>
      <c r="B30" s="15"/>
      <c r="C30" s="15"/>
      <c r="D30" s="10"/>
      <c r="E30" s="189"/>
      <c r="F30" s="139"/>
      <c r="G30" s="22">
        <f t="shared" si="3"/>
        <v>0</v>
      </c>
      <c r="H30" s="12"/>
      <c r="I30" s="12"/>
      <c r="J30" s="12"/>
      <c r="K30" s="12"/>
      <c r="L30" s="12"/>
      <c r="M30" s="12"/>
      <c r="N30" s="12"/>
      <c r="O30" s="237"/>
      <c r="P30" s="12"/>
      <c r="Q30" s="12"/>
      <c r="R30" s="12"/>
      <c r="S30" s="12"/>
      <c r="V30" s="138"/>
    </row>
    <row r="31" spans="1:22" ht="18.75">
      <c r="A31" s="15"/>
      <c r="B31" s="15"/>
      <c r="C31" s="15"/>
      <c r="D31" s="10"/>
      <c r="E31" s="189"/>
      <c r="F31" s="139"/>
      <c r="G31" s="22">
        <f t="shared" si="3"/>
        <v>0</v>
      </c>
      <c r="H31" s="12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237">
        <v>0</v>
      </c>
      <c r="P31" s="12">
        <v>0</v>
      </c>
      <c r="Q31" s="12">
        <v>0</v>
      </c>
      <c r="R31" s="12">
        <v>0</v>
      </c>
      <c r="S31" s="12">
        <v>0</v>
      </c>
      <c r="V31" s="138" t="s">
        <v>110</v>
      </c>
    </row>
    <row r="32" spans="1:19" ht="18.75">
      <c r="A32" s="15"/>
      <c r="B32" s="15"/>
      <c r="C32" s="15"/>
      <c r="D32" s="17">
        <f>SUM(D21:D31)</f>
        <v>3972830.2199999997</v>
      </c>
      <c r="E32" s="1"/>
      <c r="F32" s="31"/>
      <c r="G32" s="136">
        <f>SUM(G21:G31)</f>
        <v>88275.1</v>
      </c>
      <c r="H32" s="12"/>
      <c r="I32" s="12"/>
      <c r="J32" s="12"/>
      <c r="K32" s="12"/>
      <c r="L32" s="12"/>
      <c r="M32" s="12"/>
      <c r="N32" s="12"/>
      <c r="O32" s="237"/>
      <c r="P32" s="12"/>
      <c r="Q32" s="155"/>
      <c r="R32" s="155"/>
      <c r="S32" s="12"/>
    </row>
    <row r="33" spans="1:21" ht="18.75">
      <c r="A33" s="15"/>
      <c r="B33" s="15"/>
      <c r="C33" s="15"/>
      <c r="D33" s="104">
        <f>SUM(D20+D32)</f>
        <v>30118186.449999996</v>
      </c>
      <c r="E33" s="186" t="s">
        <v>49</v>
      </c>
      <c r="F33" s="32"/>
      <c r="G33" s="117">
        <f>SUM(G20+G32)</f>
        <v>2141790.57</v>
      </c>
      <c r="I33" s="20">
        <f>SUM(G33-G20)</f>
        <v>88275.09999999986</v>
      </c>
      <c r="K33" s="20">
        <f>2390510.73-2385045.02</f>
        <v>5465.709999999963</v>
      </c>
      <c r="L33" s="20">
        <f>SUM(4703890.19-4707594.58)</f>
        <v>-3704.3899999996647</v>
      </c>
      <c r="M33" s="20">
        <f>G33-963731.82</f>
        <v>1178058.75</v>
      </c>
      <c r="O33" s="235">
        <f>SUM(G33-1854059.49)</f>
        <v>287731.07999999984</v>
      </c>
      <c r="P33" s="20">
        <f>1234678.53-1234267.29</f>
        <v>411.2399999999907</v>
      </c>
      <c r="U33" s="13">
        <f>SUM(G33-2089058.65)</f>
        <v>52731.919999999925</v>
      </c>
    </row>
    <row r="34" spans="1:21" ht="18.75">
      <c r="A34" s="15"/>
      <c r="B34" s="15"/>
      <c r="C34" s="15"/>
      <c r="D34" s="19"/>
      <c r="E34" s="18"/>
      <c r="F34" s="32"/>
      <c r="G34" s="19"/>
      <c r="U34" s="13"/>
    </row>
    <row r="35" spans="1:21" ht="18.75">
      <c r="A35" s="15"/>
      <c r="B35" s="15"/>
      <c r="C35" s="15"/>
      <c r="D35" s="19"/>
      <c r="E35" s="18"/>
      <c r="F35" s="32"/>
      <c r="G35" s="19"/>
      <c r="U35" s="13"/>
    </row>
    <row r="36" spans="1:21" ht="18.75">
      <c r="A36" s="15"/>
      <c r="B36" s="15"/>
      <c r="C36" s="15"/>
      <c r="D36" s="19"/>
      <c r="E36" s="18"/>
      <c r="F36" s="32"/>
      <c r="G36" s="19"/>
      <c r="U36" s="13"/>
    </row>
    <row r="37" spans="1:21" ht="18.75">
      <c r="A37" s="15"/>
      <c r="B37" s="15"/>
      <c r="C37" s="15"/>
      <c r="D37" s="19"/>
      <c r="E37" s="18"/>
      <c r="F37" s="32"/>
      <c r="G37" s="19"/>
      <c r="U37" s="13"/>
    </row>
    <row r="38" spans="1:21" ht="18.75">
      <c r="A38" s="15"/>
      <c r="B38" s="15"/>
      <c r="C38" s="15"/>
      <c r="D38" s="19"/>
      <c r="E38" s="18"/>
      <c r="F38" s="32"/>
      <c r="G38" s="19"/>
      <c r="U38" s="13"/>
    </row>
    <row r="39" spans="1:21" ht="18.75">
      <c r="A39" s="15"/>
      <c r="B39" s="15"/>
      <c r="C39" s="15"/>
      <c r="D39" s="19"/>
      <c r="E39" s="18"/>
      <c r="F39" s="32"/>
      <c r="G39" s="19"/>
      <c r="U39" s="13"/>
    </row>
    <row r="40" spans="1:21" ht="18.75">
      <c r="A40" s="15"/>
      <c r="B40" s="15"/>
      <c r="C40" s="15"/>
      <c r="D40" s="19"/>
      <c r="E40" s="18"/>
      <c r="F40" s="32"/>
      <c r="G40" s="19"/>
      <c r="U40" s="13"/>
    </row>
    <row r="41" spans="1:21" ht="18.75">
      <c r="A41" s="15"/>
      <c r="B41" s="15"/>
      <c r="C41" s="15"/>
      <c r="D41" s="19"/>
      <c r="E41" s="18"/>
      <c r="F41" s="32"/>
      <c r="G41" s="118" t="s">
        <v>161</v>
      </c>
      <c r="U41" s="13"/>
    </row>
    <row r="42" spans="1:21" s="34" customFormat="1" ht="18.75">
      <c r="A42" s="246" t="s">
        <v>22</v>
      </c>
      <c r="B42" s="247"/>
      <c r="C42" s="247"/>
      <c r="D42" s="248"/>
      <c r="E42" s="33"/>
      <c r="F42" s="26"/>
      <c r="G42" s="2" t="s">
        <v>23</v>
      </c>
      <c r="H42" s="156"/>
      <c r="I42" s="156"/>
      <c r="J42" s="156"/>
      <c r="K42" s="156"/>
      <c r="L42" s="156"/>
      <c r="M42" s="156"/>
      <c r="N42" s="156"/>
      <c r="O42" s="235"/>
      <c r="P42" s="156"/>
      <c r="Q42" s="51"/>
      <c r="R42" s="51"/>
      <c r="S42" s="156"/>
      <c r="U42" s="35">
        <f>SUM(U33-22693)</f>
        <v>30038.919999999925</v>
      </c>
    </row>
    <row r="43" spans="1:19" s="34" customFormat="1" ht="18.75">
      <c r="A43" s="4" t="s">
        <v>24</v>
      </c>
      <c r="B43" s="4" t="s">
        <v>12</v>
      </c>
      <c r="C43" s="4" t="s">
        <v>17</v>
      </c>
      <c r="D43" s="4" t="s">
        <v>25</v>
      </c>
      <c r="E43" s="5" t="s">
        <v>19</v>
      </c>
      <c r="F43" s="27" t="s">
        <v>26</v>
      </c>
      <c r="G43" s="4" t="s">
        <v>25</v>
      </c>
      <c r="H43" s="152" t="s">
        <v>29</v>
      </c>
      <c r="I43" s="152" t="s">
        <v>30</v>
      </c>
      <c r="J43" s="152" t="s">
        <v>31</v>
      </c>
      <c r="K43" s="152" t="s">
        <v>32</v>
      </c>
      <c r="L43" s="152" t="s">
        <v>33</v>
      </c>
      <c r="M43" s="152" t="s">
        <v>34</v>
      </c>
      <c r="N43" s="152" t="s">
        <v>35</v>
      </c>
      <c r="O43" s="236" t="s">
        <v>36</v>
      </c>
      <c r="P43" s="152" t="s">
        <v>37</v>
      </c>
      <c r="Q43" s="153" t="s">
        <v>38</v>
      </c>
      <c r="R43" s="153" t="s">
        <v>39</v>
      </c>
      <c r="S43" s="152" t="s">
        <v>40</v>
      </c>
    </row>
    <row r="44" spans="1:21" s="34" customFormat="1" ht="18.75">
      <c r="A44" s="6" t="s">
        <v>27</v>
      </c>
      <c r="B44" s="6" t="s">
        <v>111</v>
      </c>
      <c r="C44" s="6" t="s">
        <v>103</v>
      </c>
      <c r="D44" s="6" t="s">
        <v>27</v>
      </c>
      <c r="E44" s="36"/>
      <c r="F44" s="28" t="s">
        <v>28</v>
      </c>
      <c r="G44" s="6" t="s">
        <v>27</v>
      </c>
      <c r="H44" s="156"/>
      <c r="I44" s="156"/>
      <c r="J44" s="156"/>
      <c r="K44" s="156"/>
      <c r="L44" s="156"/>
      <c r="M44" s="156"/>
      <c r="N44" s="156"/>
      <c r="O44" s="240"/>
      <c r="P44" s="156"/>
      <c r="Q44" s="51"/>
      <c r="R44" s="51"/>
      <c r="S44" s="156"/>
      <c r="U44" s="35">
        <f>SUM(U42-4068.41)</f>
        <v>25970.509999999926</v>
      </c>
    </row>
    <row r="45" spans="1:19" s="34" customFormat="1" ht="18" customHeight="1">
      <c r="A45" s="37"/>
      <c r="B45" s="37"/>
      <c r="C45" s="37"/>
      <c r="D45" s="37"/>
      <c r="E45" s="177" t="s">
        <v>50</v>
      </c>
      <c r="F45" s="29"/>
      <c r="G45" s="114"/>
      <c r="H45" s="156"/>
      <c r="I45" s="156" t="s">
        <v>51</v>
      </c>
      <c r="J45" s="156"/>
      <c r="K45" s="156"/>
      <c r="L45" s="156"/>
      <c r="M45" s="156"/>
      <c r="N45" s="156"/>
      <c r="O45" s="240"/>
      <c r="P45" s="156"/>
      <c r="Q45" s="51"/>
      <c r="R45" s="51"/>
      <c r="S45" s="156"/>
    </row>
    <row r="46" spans="1:22" s="34" customFormat="1" ht="18" customHeight="1">
      <c r="A46" s="112">
        <v>145149</v>
      </c>
      <c r="B46" s="112"/>
      <c r="C46" s="112">
        <f aca="true" t="shared" si="4" ref="C46:C51">SUM(D46)</f>
        <v>85258</v>
      </c>
      <c r="D46" s="112">
        <f aca="true" t="shared" si="5" ref="D46:D55">SUM(H46+I46+J46+K46+L46+M46+N46+O46+P46+Q46+R46+S46)</f>
        <v>85258</v>
      </c>
      <c r="E46" s="178" t="s">
        <v>202</v>
      </c>
      <c r="F46" s="30" t="s">
        <v>209</v>
      </c>
      <c r="G46" s="112">
        <f>SUM(P46)</f>
        <v>9734</v>
      </c>
      <c r="H46" s="46">
        <v>0</v>
      </c>
      <c r="I46" s="46">
        <v>17390</v>
      </c>
      <c r="J46" s="46">
        <v>9070</v>
      </c>
      <c r="K46" s="46">
        <v>9691</v>
      </c>
      <c r="L46" s="46">
        <v>9317</v>
      </c>
      <c r="M46" s="46">
        <v>9234</v>
      </c>
      <c r="N46" s="46">
        <v>10588</v>
      </c>
      <c r="O46" s="241">
        <v>10234</v>
      </c>
      <c r="P46" s="46">
        <v>9734</v>
      </c>
      <c r="Q46" s="46">
        <v>0</v>
      </c>
      <c r="R46" s="46">
        <v>0</v>
      </c>
      <c r="S46" s="46">
        <v>0</v>
      </c>
      <c r="V46" s="111" t="s">
        <v>53</v>
      </c>
    </row>
    <row r="47" spans="1:22" s="34" customFormat="1" ht="18" customHeight="1">
      <c r="A47" s="112">
        <f>5700100-250000-300000</f>
        <v>5150100</v>
      </c>
      <c r="B47" s="112"/>
      <c r="C47" s="112">
        <f t="shared" si="4"/>
        <v>3768000</v>
      </c>
      <c r="D47" s="112">
        <f t="shared" si="5"/>
        <v>3768000</v>
      </c>
      <c r="E47" s="178" t="s">
        <v>266</v>
      </c>
      <c r="F47" s="30" t="s">
        <v>209</v>
      </c>
      <c r="G47" s="112">
        <f>SUM(P47)</f>
        <v>439900</v>
      </c>
      <c r="H47" s="46">
        <v>208200</v>
      </c>
      <c r="I47" s="46">
        <v>449500</v>
      </c>
      <c r="J47" s="46">
        <v>450300</v>
      </c>
      <c r="K47" s="46">
        <v>447900</v>
      </c>
      <c r="L47" s="46">
        <v>445100</v>
      </c>
      <c r="M47" s="46">
        <v>443600</v>
      </c>
      <c r="N47" s="46">
        <v>442100</v>
      </c>
      <c r="O47" s="241">
        <v>441400</v>
      </c>
      <c r="P47" s="46">
        <v>439900</v>
      </c>
      <c r="Q47" s="46">
        <v>0</v>
      </c>
      <c r="R47" s="46">
        <v>0</v>
      </c>
      <c r="S47" s="46">
        <v>0</v>
      </c>
      <c r="V47" s="111" t="s">
        <v>158</v>
      </c>
    </row>
    <row r="48" spans="1:22" s="34" customFormat="1" ht="18" customHeight="1">
      <c r="A48" s="112">
        <f>1550000-100000-150000</f>
        <v>1300000</v>
      </c>
      <c r="B48" s="112"/>
      <c r="C48" s="112">
        <f t="shared" si="4"/>
        <v>750400</v>
      </c>
      <c r="D48" s="112">
        <f t="shared" si="5"/>
        <v>750400</v>
      </c>
      <c r="E48" s="178" t="s">
        <v>204</v>
      </c>
      <c r="F48" s="30" t="s">
        <v>209</v>
      </c>
      <c r="G48" s="112">
        <f aca="true" t="shared" si="6" ref="G48:G63">SUM(P48)</f>
        <v>90400</v>
      </c>
      <c r="H48" s="46">
        <v>32800</v>
      </c>
      <c r="I48" s="46">
        <v>91200</v>
      </c>
      <c r="J48" s="46">
        <v>90400</v>
      </c>
      <c r="K48" s="46">
        <v>88800</v>
      </c>
      <c r="L48" s="46">
        <v>88000</v>
      </c>
      <c r="M48" s="46">
        <v>88800</v>
      </c>
      <c r="N48" s="46">
        <v>89600</v>
      </c>
      <c r="O48" s="241">
        <v>90400</v>
      </c>
      <c r="P48" s="46">
        <v>90400</v>
      </c>
      <c r="Q48" s="46">
        <v>0</v>
      </c>
      <c r="R48" s="46">
        <v>0</v>
      </c>
      <c r="S48" s="46">
        <v>0</v>
      </c>
      <c r="V48" s="111" t="s">
        <v>159</v>
      </c>
    </row>
    <row r="49" spans="1:22" s="34" customFormat="1" ht="18" customHeight="1">
      <c r="A49" s="112">
        <f>30000-15000</f>
        <v>15000</v>
      </c>
      <c r="B49" s="112"/>
      <c r="C49" s="112">
        <f t="shared" si="4"/>
        <v>9000</v>
      </c>
      <c r="D49" s="112">
        <f t="shared" si="5"/>
        <v>9000</v>
      </c>
      <c r="E49" s="178" t="s">
        <v>203</v>
      </c>
      <c r="F49" s="30" t="s">
        <v>209</v>
      </c>
      <c r="G49" s="112">
        <f t="shared" si="6"/>
        <v>1000</v>
      </c>
      <c r="H49" s="46">
        <v>1000</v>
      </c>
      <c r="I49" s="46">
        <v>1000</v>
      </c>
      <c r="J49" s="46">
        <v>1000</v>
      </c>
      <c r="K49" s="46">
        <v>1000</v>
      </c>
      <c r="L49" s="46">
        <v>1000</v>
      </c>
      <c r="M49" s="46">
        <v>1000</v>
      </c>
      <c r="N49" s="46">
        <v>1000</v>
      </c>
      <c r="O49" s="241">
        <v>1000</v>
      </c>
      <c r="P49" s="46">
        <v>1000</v>
      </c>
      <c r="Q49" s="46">
        <v>0</v>
      </c>
      <c r="R49" s="46">
        <v>0</v>
      </c>
      <c r="S49" s="46">
        <v>0</v>
      </c>
      <c r="V49" s="111" t="s">
        <v>157</v>
      </c>
    </row>
    <row r="50" spans="1:22" s="34" customFormat="1" ht="18" customHeight="1">
      <c r="A50" s="112">
        <v>244355</v>
      </c>
      <c r="B50" s="112"/>
      <c r="C50" s="112">
        <f t="shared" si="4"/>
        <v>236670</v>
      </c>
      <c r="D50" s="112">
        <f t="shared" si="5"/>
        <v>236670</v>
      </c>
      <c r="E50" s="178" t="s">
        <v>201</v>
      </c>
      <c r="F50" s="30" t="s">
        <v>209</v>
      </c>
      <c r="G50" s="112">
        <f t="shared" si="6"/>
        <v>0</v>
      </c>
      <c r="H50" s="46"/>
      <c r="I50" s="46">
        <v>0</v>
      </c>
      <c r="J50" s="46">
        <v>236670</v>
      </c>
      <c r="K50" s="46">
        <v>0</v>
      </c>
      <c r="L50" s="46">
        <v>0</v>
      </c>
      <c r="M50" s="46">
        <v>0</v>
      </c>
      <c r="N50" s="46">
        <v>0</v>
      </c>
      <c r="O50" s="241">
        <v>0</v>
      </c>
      <c r="P50" s="46">
        <v>0</v>
      </c>
      <c r="Q50" s="46">
        <v>0</v>
      </c>
      <c r="R50" s="46">
        <v>0</v>
      </c>
      <c r="S50" s="46">
        <v>0</v>
      </c>
      <c r="T50" s="40">
        <f>SUM(D48:D50)</f>
        <v>996070</v>
      </c>
      <c r="V50" s="111" t="s">
        <v>52</v>
      </c>
    </row>
    <row r="51" spans="1:22" s="34" customFormat="1" ht="18" customHeight="1">
      <c r="A51" s="112">
        <f>130570-10200-1800</f>
        <v>118570</v>
      </c>
      <c r="B51" s="112"/>
      <c r="C51" s="112">
        <f t="shared" si="4"/>
        <v>118441.9</v>
      </c>
      <c r="D51" s="112">
        <f t="shared" si="5"/>
        <v>118441.9</v>
      </c>
      <c r="E51" s="178" t="s">
        <v>200</v>
      </c>
      <c r="F51" s="30" t="s">
        <v>209</v>
      </c>
      <c r="G51" s="112">
        <f t="shared" si="6"/>
        <v>0</v>
      </c>
      <c r="H51" s="46"/>
      <c r="I51" s="46">
        <v>0</v>
      </c>
      <c r="J51" s="46">
        <v>118441.9</v>
      </c>
      <c r="K51" s="46">
        <v>0</v>
      </c>
      <c r="L51" s="46">
        <v>0</v>
      </c>
      <c r="M51" s="46">
        <v>0</v>
      </c>
      <c r="N51" s="46">
        <v>0</v>
      </c>
      <c r="O51" s="241">
        <v>0</v>
      </c>
      <c r="P51" s="46">
        <v>0</v>
      </c>
      <c r="Q51" s="46">
        <v>0</v>
      </c>
      <c r="R51" s="46">
        <v>0</v>
      </c>
      <c r="S51" s="46">
        <v>0</v>
      </c>
      <c r="V51" s="111" t="s">
        <v>97</v>
      </c>
    </row>
    <row r="52" spans="1:22" s="34" customFormat="1" ht="18" customHeight="1">
      <c r="A52" s="112">
        <v>305645</v>
      </c>
      <c r="B52" s="112"/>
      <c r="C52" s="112">
        <f>SUM(D52)</f>
        <v>305640</v>
      </c>
      <c r="D52" s="112">
        <f t="shared" si="5"/>
        <v>305640</v>
      </c>
      <c r="E52" s="179" t="s">
        <v>199</v>
      </c>
      <c r="F52" s="30" t="s">
        <v>209</v>
      </c>
      <c r="G52" s="112">
        <f t="shared" si="6"/>
        <v>0</v>
      </c>
      <c r="H52" s="46"/>
      <c r="I52" s="46">
        <v>0</v>
      </c>
      <c r="J52" s="46">
        <v>305640</v>
      </c>
      <c r="K52" s="46">
        <v>0</v>
      </c>
      <c r="L52" s="46">
        <v>0</v>
      </c>
      <c r="M52" s="46">
        <v>0</v>
      </c>
      <c r="N52" s="46">
        <v>0</v>
      </c>
      <c r="O52" s="241">
        <v>0</v>
      </c>
      <c r="P52" s="46">
        <v>0</v>
      </c>
      <c r="Q52" s="46">
        <v>0</v>
      </c>
      <c r="R52" s="46">
        <v>0</v>
      </c>
      <c r="S52" s="46">
        <v>0</v>
      </c>
      <c r="V52" s="111" t="s">
        <v>98</v>
      </c>
    </row>
    <row r="53" spans="1:22" s="34" customFormat="1" ht="18" customHeight="1">
      <c r="A53" s="112">
        <v>2624640</v>
      </c>
      <c r="B53" s="112"/>
      <c r="C53" s="112">
        <f aca="true" t="shared" si="7" ref="C53:C61">SUM(D53)</f>
        <v>1968480</v>
      </c>
      <c r="D53" s="112">
        <f t="shared" si="5"/>
        <v>1968480</v>
      </c>
      <c r="E53" s="179" t="s">
        <v>69</v>
      </c>
      <c r="F53" s="30" t="s">
        <v>127</v>
      </c>
      <c r="G53" s="112">
        <f t="shared" si="6"/>
        <v>218720</v>
      </c>
      <c r="H53" s="46">
        <v>218720</v>
      </c>
      <c r="I53" s="46">
        <v>218720</v>
      </c>
      <c r="J53" s="46">
        <v>218720</v>
      </c>
      <c r="K53" s="46">
        <v>218720</v>
      </c>
      <c r="L53" s="46">
        <v>218720</v>
      </c>
      <c r="M53" s="46">
        <v>218720</v>
      </c>
      <c r="N53" s="46">
        <v>218720</v>
      </c>
      <c r="O53" s="241">
        <v>218720</v>
      </c>
      <c r="P53" s="46">
        <v>218720</v>
      </c>
      <c r="Q53" s="46">
        <v>0</v>
      </c>
      <c r="R53" s="46">
        <v>0</v>
      </c>
      <c r="S53" s="46">
        <v>0</v>
      </c>
      <c r="U53" s="35">
        <f>SUM(D52:D52)</f>
        <v>305640</v>
      </c>
      <c r="V53" s="39" t="s">
        <v>54</v>
      </c>
    </row>
    <row r="54" spans="1:22" s="34" customFormat="1" ht="18" customHeight="1">
      <c r="A54" s="112">
        <f>8081830-50000-50000-130000-10500-30000-25500-11000-9000-10000-91200</f>
        <v>7664630</v>
      </c>
      <c r="B54" s="112"/>
      <c r="C54" s="112">
        <f t="shared" si="7"/>
        <v>5194600</v>
      </c>
      <c r="D54" s="112">
        <f t="shared" si="5"/>
        <v>5194600</v>
      </c>
      <c r="E54" s="178" t="s">
        <v>70</v>
      </c>
      <c r="F54" s="30" t="s">
        <v>128</v>
      </c>
      <c r="G54" s="112">
        <f t="shared" si="6"/>
        <v>593830</v>
      </c>
      <c r="H54" s="46">
        <v>552429</v>
      </c>
      <c r="I54" s="46">
        <v>543215</v>
      </c>
      <c r="J54" s="46">
        <v>548215</v>
      </c>
      <c r="K54" s="46">
        <v>560642</v>
      </c>
      <c r="L54" s="46">
        <v>567987</v>
      </c>
      <c r="M54" s="46">
        <v>596294</v>
      </c>
      <c r="N54" s="46">
        <v>627114</v>
      </c>
      <c r="O54" s="241">
        <v>604874</v>
      </c>
      <c r="P54" s="46">
        <f>355340+40420+198070</f>
        <v>593830</v>
      </c>
      <c r="Q54" s="46">
        <v>0</v>
      </c>
      <c r="R54" s="46">
        <v>0</v>
      </c>
      <c r="S54" s="46">
        <v>0</v>
      </c>
      <c r="V54" s="111" t="s">
        <v>55</v>
      </c>
    </row>
    <row r="55" spans="1:22" s="34" customFormat="1" ht="18" customHeight="1">
      <c r="A55" s="112">
        <f>257000+35000+38000-10000+15000+5000+4000</f>
        <v>344000</v>
      </c>
      <c r="B55" s="112"/>
      <c r="C55" s="112">
        <f t="shared" si="7"/>
        <v>158630</v>
      </c>
      <c r="D55" s="112">
        <f t="shared" si="5"/>
        <v>158630</v>
      </c>
      <c r="E55" s="178" t="s">
        <v>8</v>
      </c>
      <c r="F55" s="30" t="s">
        <v>129</v>
      </c>
      <c r="G55" s="112">
        <f t="shared" si="6"/>
        <v>8400</v>
      </c>
      <c r="H55" s="46">
        <v>3000</v>
      </c>
      <c r="I55" s="46">
        <v>6000</v>
      </c>
      <c r="J55" s="46">
        <v>21050</v>
      </c>
      <c r="K55" s="46">
        <v>11460</v>
      </c>
      <c r="L55" s="46">
        <v>17820</v>
      </c>
      <c r="M55" s="46">
        <v>21760</v>
      </c>
      <c r="N55" s="46">
        <v>14880</v>
      </c>
      <c r="O55" s="241">
        <v>54260</v>
      </c>
      <c r="P55" s="46">
        <v>8400</v>
      </c>
      <c r="Q55" s="46">
        <v>0</v>
      </c>
      <c r="R55" s="46">
        <v>0</v>
      </c>
      <c r="S55" s="46">
        <v>0</v>
      </c>
      <c r="V55" s="111" t="s">
        <v>56</v>
      </c>
    </row>
    <row r="56" spans="1:22" s="34" customFormat="1" ht="18" customHeight="1">
      <c r="A56" s="112">
        <f>5549200+120000-64800-5000-10000-5000-9000-10000-160000-10000-15000+500000-85000+50000-300000+50000+250000-5000-20000+30000-31300-100000+80000-112900-15000-39600+89500+20000-20000-18450-17500-5000-30000-21000-1150-15000-5000-5000-10000+8000+155000-5000+110000-80000-155000-2200-19000-20000-8800-50000-140000+120000-25250-30000+40250-15000-25000-20000+10000+45000-40000+30000-5000-15000-10000-7000-5000+50000+150000+260000+60000+20000</f>
        <v>5974000</v>
      </c>
      <c r="B56" s="112"/>
      <c r="C56" s="112">
        <f>SUM(D56)</f>
        <v>4341938.72</v>
      </c>
      <c r="D56" s="112">
        <f>SUM(H56+I56+J56+K56+L56+M56+N56+O56+P56+Q56+R56+S56)-112800-140400</f>
        <v>4341938.72</v>
      </c>
      <c r="E56" s="180" t="s">
        <v>9</v>
      </c>
      <c r="F56" s="30" t="s">
        <v>130</v>
      </c>
      <c r="G56" s="112">
        <f t="shared" si="6"/>
        <v>408443.06</v>
      </c>
      <c r="H56" s="46">
        <v>56670.74</v>
      </c>
      <c r="I56" s="46">
        <v>1243105.5</v>
      </c>
      <c r="J56" s="46">
        <v>519050.5</v>
      </c>
      <c r="K56" s="46">
        <v>319542.82</v>
      </c>
      <c r="L56" s="46">
        <v>492750.75</v>
      </c>
      <c r="M56" s="46">
        <f>368166.25+338322</f>
        <v>706488.25</v>
      </c>
      <c r="N56" s="46">
        <v>263493.5</v>
      </c>
      <c r="O56" s="241">
        <v>585593.6</v>
      </c>
      <c r="P56" s="46">
        <v>408443.06</v>
      </c>
      <c r="Q56" s="46">
        <v>0</v>
      </c>
      <c r="R56" s="46">
        <v>0</v>
      </c>
      <c r="S56" s="46">
        <v>0</v>
      </c>
      <c r="V56" s="111" t="s">
        <v>57</v>
      </c>
    </row>
    <row r="57" spans="1:22" s="34" customFormat="1" ht="18" customHeight="1">
      <c r="A57" s="112">
        <f>2025521-70000-5000-3000-2000-20000-20000-20000+100000+20000-4000-4100-5000-10000-10000+20000+50000+20000+10000+6000+10000+150000</f>
        <v>2238421</v>
      </c>
      <c r="B57" s="112"/>
      <c r="C57" s="112">
        <f t="shared" si="7"/>
        <v>1159123.56</v>
      </c>
      <c r="D57" s="112">
        <f aca="true" t="shared" si="8" ref="D57:D63">SUM(H57+I57+J57+K57+L57+M57+N57+O57+P57+Q57+R57+S57)</f>
        <v>1159123.56</v>
      </c>
      <c r="E57" s="180" t="s">
        <v>10</v>
      </c>
      <c r="F57" s="30" t="s">
        <v>131</v>
      </c>
      <c r="G57" s="112">
        <f t="shared" si="6"/>
        <v>133724.6</v>
      </c>
      <c r="H57" s="46">
        <v>0</v>
      </c>
      <c r="I57" s="46">
        <v>13780.1</v>
      </c>
      <c r="J57" s="46">
        <v>8200.35</v>
      </c>
      <c r="K57" s="46">
        <v>120643.71</v>
      </c>
      <c r="L57" s="46">
        <v>154276</v>
      </c>
      <c r="M57" s="46">
        <v>122507.8</v>
      </c>
      <c r="N57" s="46">
        <v>78082</v>
      </c>
      <c r="O57" s="241">
        <v>527909</v>
      </c>
      <c r="P57" s="46">
        <v>133724.6</v>
      </c>
      <c r="Q57" s="46">
        <v>0</v>
      </c>
      <c r="R57" s="46">
        <v>0</v>
      </c>
      <c r="S57" s="46">
        <v>0</v>
      </c>
      <c r="V57" s="111" t="s">
        <v>58</v>
      </c>
    </row>
    <row r="58" spans="1:22" s="34" customFormat="1" ht="18" customHeight="1">
      <c r="A58" s="112">
        <f>752000-50000+70000+50000</f>
        <v>822000</v>
      </c>
      <c r="B58" s="112"/>
      <c r="C58" s="112">
        <f t="shared" si="7"/>
        <v>629658.34</v>
      </c>
      <c r="D58" s="112">
        <f t="shared" si="8"/>
        <v>629658.34</v>
      </c>
      <c r="E58" s="180" t="s">
        <v>11</v>
      </c>
      <c r="F58" s="30" t="s">
        <v>132</v>
      </c>
      <c r="G58" s="112">
        <f t="shared" si="6"/>
        <v>86089.61</v>
      </c>
      <c r="H58" s="46">
        <v>57592.31</v>
      </c>
      <c r="I58" s="46">
        <v>47855.81</v>
      </c>
      <c r="J58" s="46">
        <v>59925.34</v>
      </c>
      <c r="K58" s="46">
        <v>65466.62</v>
      </c>
      <c r="L58" s="46">
        <v>63100.85</v>
      </c>
      <c r="M58" s="46">
        <v>70477.75</v>
      </c>
      <c r="N58" s="46">
        <v>93322.65</v>
      </c>
      <c r="O58" s="241">
        <v>85827.4</v>
      </c>
      <c r="P58" s="46">
        <v>86089.61</v>
      </c>
      <c r="Q58" s="46">
        <v>0</v>
      </c>
      <c r="R58" s="46">
        <v>0</v>
      </c>
      <c r="S58" s="46">
        <v>0</v>
      </c>
      <c r="V58" s="111" t="s">
        <v>59</v>
      </c>
    </row>
    <row r="59" spans="1:22" s="34" customFormat="1" ht="18" customHeight="1">
      <c r="A59" s="112">
        <f>1002500+100000+19300+12000-80000</f>
        <v>1053800</v>
      </c>
      <c r="B59" s="112"/>
      <c r="C59" s="112">
        <f>SUM(D59)</f>
        <v>214530</v>
      </c>
      <c r="D59" s="112">
        <f>SUM(H59+I59+J59+K59+L59+M59+N59+O59+P59+Q59+R59+S59)</f>
        <v>214530</v>
      </c>
      <c r="E59" s="181" t="s">
        <v>13</v>
      </c>
      <c r="F59" s="30" t="s">
        <v>133</v>
      </c>
      <c r="G59" s="112">
        <f t="shared" si="6"/>
        <v>0</v>
      </c>
      <c r="H59" s="46">
        <v>0</v>
      </c>
      <c r="I59" s="46">
        <v>0</v>
      </c>
      <c r="J59" s="46">
        <v>0</v>
      </c>
      <c r="K59" s="46">
        <v>94580</v>
      </c>
      <c r="L59" s="46">
        <v>0</v>
      </c>
      <c r="M59" s="46">
        <v>16000</v>
      </c>
      <c r="N59" s="46">
        <v>28250</v>
      </c>
      <c r="O59" s="241">
        <v>75700</v>
      </c>
      <c r="P59" s="46">
        <v>0</v>
      </c>
      <c r="Q59" s="46">
        <v>0</v>
      </c>
      <c r="R59" s="46">
        <v>0</v>
      </c>
      <c r="S59" s="46">
        <v>0</v>
      </c>
      <c r="V59" s="110" t="s">
        <v>61</v>
      </c>
    </row>
    <row r="60" spans="1:22" s="34" customFormat="1" ht="18" customHeight="1">
      <c r="A60" s="112">
        <f>532000+130000</f>
        <v>662000</v>
      </c>
      <c r="B60" s="112"/>
      <c r="C60" s="112">
        <f>SUM(D60)</f>
        <v>531500</v>
      </c>
      <c r="D60" s="112">
        <f>SUM(H60+I60+J60+K60+L60+M60+N60+O60+P60+Q60+R60+S60)</f>
        <v>531500</v>
      </c>
      <c r="E60" s="181" t="s">
        <v>14</v>
      </c>
      <c r="F60" s="30" t="s">
        <v>134</v>
      </c>
      <c r="G60" s="112">
        <f t="shared" si="6"/>
        <v>0</v>
      </c>
      <c r="H60" s="46">
        <v>0</v>
      </c>
      <c r="I60" s="46">
        <v>0</v>
      </c>
      <c r="J60" s="46">
        <v>0</v>
      </c>
      <c r="K60" s="46">
        <v>0</v>
      </c>
      <c r="L60" s="46">
        <v>224000</v>
      </c>
      <c r="M60" s="46">
        <v>258000</v>
      </c>
      <c r="N60" s="46">
        <v>49500</v>
      </c>
      <c r="O60" s="241">
        <v>0</v>
      </c>
      <c r="P60" s="46">
        <v>0</v>
      </c>
      <c r="Q60" s="46">
        <v>0</v>
      </c>
      <c r="R60" s="46">
        <v>0</v>
      </c>
      <c r="S60" s="46">
        <v>0</v>
      </c>
      <c r="V60" s="110" t="s">
        <v>62</v>
      </c>
    </row>
    <row r="61" spans="1:22" s="34" customFormat="1" ht="18" customHeight="1">
      <c r="A61" s="112">
        <f>5000-5000</f>
        <v>0</v>
      </c>
      <c r="B61" s="112"/>
      <c r="C61" s="112">
        <f t="shared" si="7"/>
        <v>0</v>
      </c>
      <c r="D61" s="112">
        <f t="shared" si="8"/>
        <v>0</v>
      </c>
      <c r="E61" s="181" t="s">
        <v>15</v>
      </c>
      <c r="F61" s="30" t="s">
        <v>210</v>
      </c>
      <c r="G61" s="112">
        <f t="shared" si="6"/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41">
        <v>0</v>
      </c>
      <c r="P61" s="46">
        <v>0</v>
      </c>
      <c r="Q61" s="46">
        <v>0</v>
      </c>
      <c r="R61" s="46">
        <v>0</v>
      </c>
      <c r="S61" s="46">
        <v>0</v>
      </c>
      <c r="V61" s="110" t="s">
        <v>60</v>
      </c>
    </row>
    <row r="62" spans="1:22" s="34" customFormat="1" ht="18" customHeight="1">
      <c r="A62" s="112">
        <f>1807000+155000+67200+51000</f>
        <v>2080200</v>
      </c>
      <c r="B62" s="112"/>
      <c r="C62" s="112">
        <f>SUM(D62)</f>
        <v>1452200</v>
      </c>
      <c r="D62" s="112">
        <f>SUM(H62+I62+J62+K62+L62+M62+N62+O62+P62+Q62+R62+S62)+112800+140400</f>
        <v>1452200</v>
      </c>
      <c r="E62" s="181" t="s">
        <v>12</v>
      </c>
      <c r="F62" s="30" t="s">
        <v>164</v>
      </c>
      <c r="G62" s="112">
        <f t="shared" si="6"/>
        <v>331000</v>
      </c>
      <c r="H62" s="46">
        <v>100000</v>
      </c>
      <c r="I62" s="46">
        <v>0</v>
      </c>
      <c r="J62" s="46">
        <v>306000</v>
      </c>
      <c r="K62" s="46">
        <v>0</v>
      </c>
      <c r="L62" s="46">
        <v>462000</v>
      </c>
      <c r="M62" s="46">
        <v>0</v>
      </c>
      <c r="N62" s="46">
        <v>0</v>
      </c>
      <c r="O62" s="241">
        <v>0</v>
      </c>
      <c r="P62" s="46">
        <v>331000</v>
      </c>
      <c r="Q62" s="46">
        <v>0</v>
      </c>
      <c r="R62" s="46">
        <v>0</v>
      </c>
      <c r="S62" s="46">
        <v>0</v>
      </c>
      <c r="V62" s="110" t="s">
        <v>60</v>
      </c>
    </row>
    <row r="63" spans="1:22" s="34" customFormat="1" ht="18" customHeight="1">
      <c r="A63" s="204"/>
      <c r="B63" s="206">
        <f>SUM(S63)</f>
        <v>0</v>
      </c>
      <c r="C63" s="205">
        <f>SUM(H63:S63)</f>
        <v>0</v>
      </c>
      <c r="D63" s="205">
        <f t="shared" si="8"/>
        <v>0</v>
      </c>
      <c r="E63" s="181" t="s">
        <v>112</v>
      </c>
      <c r="F63" s="30" t="s">
        <v>211</v>
      </c>
      <c r="G63" s="112">
        <f t="shared" si="6"/>
        <v>0</v>
      </c>
      <c r="H63" s="46"/>
      <c r="I63" s="46"/>
      <c r="J63" s="46"/>
      <c r="K63" s="46"/>
      <c r="L63" s="46"/>
      <c r="M63" s="46"/>
      <c r="N63" s="46">
        <v>0</v>
      </c>
      <c r="O63" s="241">
        <v>0</v>
      </c>
      <c r="P63" s="46"/>
      <c r="Q63" s="207"/>
      <c r="R63" s="207"/>
      <c r="S63" s="46">
        <v>0</v>
      </c>
      <c r="V63" s="110" t="s">
        <v>113</v>
      </c>
    </row>
    <row r="64" spans="1:22" s="34" customFormat="1" ht="18" customHeight="1" thickBot="1">
      <c r="A64" s="150">
        <f>SUM(A45:A62)</f>
        <v>30742510</v>
      </c>
      <c r="B64" s="113">
        <f>SUM(B63)</f>
        <v>0</v>
      </c>
      <c r="C64" s="114">
        <f>SUM(C46:C63)</f>
        <v>20924070.52</v>
      </c>
      <c r="D64" s="115">
        <f>SUM(D46:D62)</f>
        <v>20924070.52</v>
      </c>
      <c r="E64" s="182"/>
      <c r="F64" s="30"/>
      <c r="G64" s="116">
        <f>SUM(G46:G62)</f>
        <v>2321241.2700000005</v>
      </c>
      <c r="H64" s="152" t="s">
        <v>29</v>
      </c>
      <c r="I64" s="152" t="s">
        <v>30</v>
      </c>
      <c r="J64" s="152" t="s">
        <v>31</v>
      </c>
      <c r="K64" s="152" t="s">
        <v>32</v>
      </c>
      <c r="L64" s="152" t="s">
        <v>33</v>
      </c>
      <c r="M64" s="152" t="s">
        <v>34</v>
      </c>
      <c r="N64" s="152" t="s">
        <v>35</v>
      </c>
      <c r="O64" s="236" t="s">
        <v>36</v>
      </c>
      <c r="P64" s="152" t="s">
        <v>37</v>
      </c>
      <c r="Q64" s="153" t="s">
        <v>38</v>
      </c>
      <c r="R64" s="153" t="s">
        <v>39</v>
      </c>
      <c r="S64" s="152" t="s">
        <v>40</v>
      </c>
      <c r="V64" s="41"/>
    </row>
    <row r="65" spans="1:22" s="34" customFormat="1" ht="18" customHeight="1" thickBot="1" thickTop="1">
      <c r="A65" s="42"/>
      <c r="B65" s="43">
        <f>SUM(B20-B64)</f>
        <v>0</v>
      </c>
      <c r="C65" s="43">
        <f>SUM(C20-C64)</f>
        <v>5221285.709999997</v>
      </c>
      <c r="D65" s="38">
        <f aca="true" t="shared" si="9" ref="D65:D71">SUM(H65+I65+J65+K65+L65+M65+N65+O65+P65+Q65+R65+S65)</f>
        <v>639952</v>
      </c>
      <c r="E65" s="181" t="s">
        <v>205</v>
      </c>
      <c r="F65" s="30" t="s">
        <v>121</v>
      </c>
      <c r="G65" s="112">
        <f>SUM(P65)</f>
        <v>26000</v>
      </c>
      <c r="H65" s="46">
        <v>262000</v>
      </c>
      <c r="I65" s="46">
        <v>0</v>
      </c>
      <c r="J65" s="46">
        <v>0</v>
      </c>
      <c r="K65" s="46">
        <v>314400</v>
      </c>
      <c r="L65" s="46">
        <v>4052</v>
      </c>
      <c r="M65" s="46">
        <v>23000</v>
      </c>
      <c r="N65" s="46">
        <v>10500</v>
      </c>
      <c r="O65" s="241">
        <v>0</v>
      </c>
      <c r="P65" s="46">
        <v>26000</v>
      </c>
      <c r="Q65" s="46">
        <v>0</v>
      </c>
      <c r="R65" s="46">
        <v>0</v>
      </c>
      <c r="S65" s="46">
        <v>0</v>
      </c>
      <c r="V65" s="181" t="s">
        <v>205</v>
      </c>
    </row>
    <row r="66" spans="1:22" s="34" customFormat="1" ht="18" customHeight="1" thickTop="1">
      <c r="A66" s="42"/>
      <c r="B66" s="42"/>
      <c r="C66" s="42"/>
      <c r="D66" s="38">
        <f t="shared" si="9"/>
        <v>364566</v>
      </c>
      <c r="E66" s="183" t="s">
        <v>258</v>
      </c>
      <c r="F66" s="44" t="s">
        <v>120</v>
      </c>
      <c r="G66" s="112">
        <f>SUM(P66)</f>
        <v>65890</v>
      </c>
      <c r="H66" s="157">
        <v>47212</v>
      </c>
      <c r="I66" s="46">
        <v>46678</v>
      </c>
      <c r="J66" s="46">
        <v>30692</v>
      </c>
      <c r="K66" s="46">
        <v>0</v>
      </c>
      <c r="L66" s="46">
        <v>40248</v>
      </c>
      <c r="M66" s="46">
        <v>53810</v>
      </c>
      <c r="N66" s="46">
        <v>49944</v>
      </c>
      <c r="O66" s="241">
        <v>30092</v>
      </c>
      <c r="P66" s="46">
        <v>65890</v>
      </c>
      <c r="Q66" s="46">
        <v>0</v>
      </c>
      <c r="R66" s="46">
        <v>0</v>
      </c>
      <c r="S66" s="46">
        <v>0</v>
      </c>
      <c r="V66" s="183" t="s">
        <v>258</v>
      </c>
    </row>
    <row r="67" spans="1:22" s="34" customFormat="1" ht="18" customHeight="1">
      <c r="A67" s="42"/>
      <c r="B67" s="42"/>
      <c r="C67" s="42"/>
      <c r="D67" s="38">
        <f t="shared" si="9"/>
        <v>285929.88</v>
      </c>
      <c r="E67" s="181" t="s">
        <v>242</v>
      </c>
      <c r="F67" s="30" t="s">
        <v>123</v>
      </c>
      <c r="G67" s="112">
        <f aca="true" t="shared" si="10" ref="G67:G72">SUM(P67)</f>
        <v>0</v>
      </c>
      <c r="H67" s="157"/>
      <c r="I67" s="46">
        <v>285929.88</v>
      </c>
      <c r="J67" s="46"/>
      <c r="K67" s="46"/>
      <c r="L67" s="46">
        <v>0</v>
      </c>
      <c r="M67" s="46">
        <v>0</v>
      </c>
      <c r="N67" s="46">
        <v>0</v>
      </c>
      <c r="O67" s="241"/>
      <c r="P67" s="46"/>
      <c r="Q67" s="46"/>
      <c r="R67" s="46"/>
      <c r="S67" s="46"/>
      <c r="V67" s="181" t="s">
        <v>242</v>
      </c>
    </row>
    <row r="68" spans="1:22" s="34" customFormat="1" ht="18" customHeight="1">
      <c r="A68" s="42"/>
      <c r="B68" s="42"/>
      <c r="C68" s="42"/>
      <c r="D68" s="38">
        <f>SUM(H68+I68+J68+K68+L68+M68+N68+O68+P68+Q68+R68+S68)</f>
        <v>712968.0799999998</v>
      </c>
      <c r="E68" s="181" t="s">
        <v>229</v>
      </c>
      <c r="F68" s="30" t="s">
        <v>138</v>
      </c>
      <c r="G68" s="112">
        <f t="shared" si="10"/>
        <v>18371.23</v>
      </c>
      <c r="H68" s="46">
        <v>341865.97</v>
      </c>
      <c r="I68" s="46">
        <v>87492.68</v>
      </c>
      <c r="J68" s="46">
        <v>29213.87</v>
      </c>
      <c r="K68" s="46">
        <v>16108.18</v>
      </c>
      <c r="L68" s="46">
        <v>25187.98</v>
      </c>
      <c r="M68" s="46">
        <v>72747.88</v>
      </c>
      <c r="N68" s="46">
        <v>57037.82</v>
      </c>
      <c r="O68" s="241">
        <v>64942.47</v>
      </c>
      <c r="P68" s="46">
        <v>18371.23</v>
      </c>
      <c r="Q68" s="46"/>
      <c r="R68" s="46"/>
      <c r="S68" s="46"/>
      <c r="V68" s="181" t="s">
        <v>229</v>
      </c>
    </row>
    <row r="69" spans="1:22" s="34" customFormat="1" ht="18" customHeight="1">
      <c r="A69" s="42"/>
      <c r="B69" s="42"/>
      <c r="C69" s="42"/>
      <c r="D69" s="38">
        <f>SUM(H69+I69+J69+K69+L69+M69+N69+O69+P69+Q69+R69+S69)</f>
        <v>2707565.7</v>
      </c>
      <c r="E69" s="183" t="s">
        <v>197</v>
      </c>
      <c r="F69" s="44" t="s">
        <v>135</v>
      </c>
      <c r="G69" s="112">
        <f t="shared" si="10"/>
        <v>0</v>
      </c>
      <c r="H69" s="157">
        <v>556565.7</v>
      </c>
      <c r="I69" s="46">
        <v>1495000</v>
      </c>
      <c r="J69" s="46"/>
      <c r="K69" s="46"/>
      <c r="L69" s="46">
        <v>0</v>
      </c>
      <c r="M69" s="46">
        <v>656000</v>
      </c>
      <c r="N69" s="46">
        <v>0</v>
      </c>
      <c r="O69" s="241"/>
      <c r="P69" s="46">
        <v>0</v>
      </c>
      <c r="Q69" s="46"/>
      <c r="R69" s="46"/>
      <c r="S69" s="46"/>
      <c r="V69" s="183" t="s">
        <v>197</v>
      </c>
    </row>
    <row r="70" spans="1:22" s="34" customFormat="1" ht="18" customHeight="1">
      <c r="A70" s="42"/>
      <c r="B70" s="42"/>
      <c r="C70" s="42"/>
      <c r="D70" s="38">
        <f t="shared" si="9"/>
        <v>443500</v>
      </c>
      <c r="E70" s="181" t="s">
        <v>214</v>
      </c>
      <c r="F70" s="30" t="s">
        <v>119</v>
      </c>
      <c r="G70" s="112">
        <f t="shared" si="10"/>
        <v>0</v>
      </c>
      <c r="H70" s="46"/>
      <c r="I70" s="46"/>
      <c r="J70" s="46"/>
      <c r="K70" s="46"/>
      <c r="L70" s="46">
        <v>305000</v>
      </c>
      <c r="M70" s="46">
        <v>138500</v>
      </c>
      <c r="N70" s="46">
        <v>0</v>
      </c>
      <c r="O70" s="241"/>
      <c r="P70" s="46">
        <v>0</v>
      </c>
      <c r="Q70" s="46"/>
      <c r="R70" s="46"/>
      <c r="S70" s="46"/>
      <c r="V70" s="181" t="s">
        <v>214</v>
      </c>
    </row>
    <row r="71" spans="1:22" s="34" customFormat="1" ht="18" customHeight="1">
      <c r="A71" s="42"/>
      <c r="B71" s="42"/>
      <c r="C71" s="42"/>
      <c r="D71" s="38">
        <f t="shared" si="9"/>
        <v>0</v>
      </c>
      <c r="E71" s="181" t="s">
        <v>206</v>
      </c>
      <c r="F71" s="44" t="s">
        <v>124</v>
      </c>
      <c r="G71" s="112">
        <f t="shared" si="10"/>
        <v>0</v>
      </c>
      <c r="H71" s="46"/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241">
        <v>0</v>
      </c>
      <c r="P71" s="46">
        <v>0</v>
      </c>
      <c r="Q71" s="46">
        <v>0</v>
      </c>
      <c r="R71" s="46">
        <v>0</v>
      </c>
      <c r="S71" s="46">
        <v>0</v>
      </c>
      <c r="V71" s="181" t="s">
        <v>206</v>
      </c>
    </row>
    <row r="72" spans="1:22" s="34" customFormat="1" ht="18" customHeight="1">
      <c r="A72" s="42"/>
      <c r="B72" s="195"/>
      <c r="C72" s="196"/>
      <c r="D72" s="194">
        <f>SUM(H72+I72+J72+K72+L72+M72+N72+O72+P72+Q72+R72+S72)</f>
        <v>648500</v>
      </c>
      <c r="E72" s="184" t="s">
        <v>207</v>
      </c>
      <c r="F72" s="31" t="s">
        <v>137</v>
      </c>
      <c r="G72" s="112">
        <f t="shared" si="10"/>
        <v>0</v>
      </c>
      <c r="H72" s="46"/>
      <c r="I72" s="46">
        <v>0</v>
      </c>
      <c r="J72" s="46">
        <v>149500</v>
      </c>
      <c r="K72" s="46">
        <v>0</v>
      </c>
      <c r="L72" s="46">
        <v>499000</v>
      </c>
      <c r="M72" s="46">
        <v>0</v>
      </c>
      <c r="N72" s="46">
        <v>0</v>
      </c>
      <c r="O72" s="241">
        <v>0</v>
      </c>
      <c r="P72" s="46">
        <v>0</v>
      </c>
      <c r="Q72" s="46">
        <v>0</v>
      </c>
      <c r="R72" s="46">
        <v>0</v>
      </c>
      <c r="S72" s="46">
        <v>0</v>
      </c>
      <c r="V72" s="184" t="s">
        <v>207</v>
      </c>
    </row>
    <row r="73" spans="1:19" s="34" customFormat="1" ht="18" customHeight="1">
      <c r="A73" s="45"/>
      <c r="B73" s="45"/>
      <c r="C73" s="45"/>
      <c r="D73" s="176">
        <f>SUM(D65:D72)</f>
        <v>5802981.66</v>
      </c>
      <c r="E73" s="45"/>
      <c r="F73" s="48"/>
      <c r="G73" s="47">
        <f>SUM(G65:G72)</f>
        <v>110261.23</v>
      </c>
      <c r="H73" s="156"/>
      <c r="I73" s="156">
        <f>SUM(I65:I72)</f>
        <v>1915100.56</v>
      </c>
      <c r="J73" s="156">
        <f>SUM(J65:J72)</f>
        <v>209405.87</v>
      </c>
      <c r="K73" s="156">
        <f>SUM(K65:K72)</f>
        <v>330508.18</v>
      </c>
      <c r="L73" s="156">
        <f>SUM(L65:L72)</f>
        <v>873487.98</v>
      </c>
      <c r="M73" s="156">
        <f>SUM(M65:M72)</f>
        <v>944057.88</v>
      </c>
      <c r="N73" s="156"/>
      <c r="O73" s="240"/>
      <c r="P73" s="156"/>
      <c r="Q73" s="51"/>
      <c r="R73" s="51"/>
      <c r="S73" s="156"/>
    </row>
    <row r="74" spans="1:19" s="34" customFormat="1" ht="18" customHeight="1" thickBot="1">
      <c r="A74" s="45"/>
      <c r="B74" s="45"/>
      <c r="C74" s="45"/>
      <c r="D74" s="49">
        <f>SUM(D64+D73)</f>
        <v>26727052.18</v>
      </c>
      <c r="E74" s="185" t="s">
        <v>63</v>
      </c>
      <c r="F74" s="50"/>
      <c r="G74" s="49">
        <f>SUM(G64+G73)</f>
        <v>2431502.5000000005</v>
      </c>
      <c r="H74" s="156"/>
      <c r="I74" s="156"/>
      <c r="J74" s="156"/>
      <c r="K74" s="156"/>
      <c r="L74" s="156"/>
      <c r="M74" s="156">
        <f>2272859.7-2277420.95</f>
        <v>-4561.25</v>
      </c>
      <c r="N74" s="156"/>
      <c r="O74" s="240"/>
      <c r="P74" s="156"/>
      <c r="Q74" s="51"/>
      <c r="R74" s="158">
        <f>SUM(G74-2103694.82)</f>
        <v>327807.68000000063</v>
      </c>
      <c r="S74" s="156"/>
    </row>
    <row r="75" spans="1:19" s="34" customFormat="1" ht="18" customHeight="1" thickTop="1">
      <c r="A75" s="45"/>
      <c r="B75" s="45"/>
      <c r="C75" s="45"/>
      <c r="D75" s="147">
        <f>SUM(D20-D64)</f>
        <v>5221285.709999997</v>
      </c>
      <c r="E75" s="186" t="s">
        <v>64</v>
      </c>
      <c r="F75" s="51"/>
      <c r="G75" s="147">
        <f>SUM(G33-G74)</f>
        <v>-289711.93000000063</v>
      </c>
      <c r="H75" s="156"/>
      <c r="I75" s="156">
        <f>SUM(G74-21777)+570</f>
        <v>2410295.5000000005</v>
      </c>
      <c r="J75" s="156"/>
      <c r="K75" s="156"/>
      <c r="L75" s="156"/>
      <c r="M75" s="156"/>
      <c r="N75" s="156"/>
      <c r="O75" s="240">
        <f>SUM(G74-2086575.16)</f>
        <v>344927.34000000055</v>
      </c>
      <c r="P75" s="156"/>
      <c r="Q75" s="51"/>
      <c r="R75" s="51"/>
      <c r="S75" s="156"/>
    </row>
    <row r="76" spans="1:19" s="34" customFormat="1" ht="18" customHeight="1">
      <c r="A76" s="45"/>
      <c r="B76" s="45"/>
      <c r="C76" s="45"/>
      <c r="D76" s="105"/>
      <c r="E76" s="34" t="s">
        <v>65</v>
      </c>
      <c r="F76" s="51"/>
      <c r="G76" s="52"/>
      <c r="H76" s="156"/>
      <c r="I76" s="156"/>
      <c r="J76" s="156"/>
      <c r="K76" s="156"/>
      <c r="L76" s="156"/>
      <c r="M76" s="156"/>
      <c r="N76" s="156"/>
      <c r="O76" s="240"/>
      <c r="P76" s="156"/>
      <c r="Q76" s="51"/>
      <c r="R76" s="51"/>
      <c r="S76" s="156"/>
    </row>
    <row r="77" spans="1:19" s="34" customFormat="1" ht="18" customHeight="1">
      <c r="A77" s="45"/>
      <c r="B77" s="45"/>
      <c r="C77" s="45"/>
      <c r="D77" s="53"/>
      <c r="E77" s="187" t="s">
        <v>66</v>
      </c>
      <c r="F77" s="51"/>
      <c r="G77" s="53"/>
      <c r="H77" s="156"/>
      <c r="I77" s="156"/>
      <c r="J77" s="156"/>
      <c r="K77" s="156"/>
      <c r="L77" s="156"/>
      <c r="M77" s="156"/>
      <c r="N77" s="156"/>
      <c r="O77" s="240"/>
      <c r="P77" s="156"/>
      <c r="Q77" s="51"/>
      <c r="R77" s="51"/>
      <c r="S77" s="156"/>
    </row>
    <row r="78" spans="1:19" s="34" customFormat="1" ht="18" customHeight="1" thickBot="1">
      <c r="A78" s="45"/>
      <c r="B78" s="45"/>
      <c r="C78" s="45"/>
      <c r="D78" s="49">
        <f>SUM(D9+D33-D74+C19)</f>
        <v>17092159.989999995</v>
      </c>
      <c r="E78" s="185" t="s">
        <v>67</v>
      </c>
      <c r="F78" s="50"/>
      <c r="G78" s="49">
        <f>G9+G33-G74+G19-D63</f>
        <v>17092159.990000002</v>
      </c>
      <c r="H78" s="156"/>
      <c r="I78" s="156">
        <f>SUM(D78-G78)</f>
        <v>-7.450580596923828E-09</v>
      </c>
      <c r="J78" s="156"/>
      <c r="K78" s="156"/>
      <c r="L78" s="156"/>
      <c r="M78" s="156"/>
      <c r="N78" s="156"/>
      <c r="O78" s="240">
        <f>SUM(G77-2086575.16)</f>
        <v>-2086575.16</v>
      </c>
      <c r="P78" s="156"/>
      <c r="Q78" s="51"/>
      <c r="R78" s="51"/>
      <c r="S78" s="156"/>
    </row>
    <row r="79" spans="1:19" s="107" customFormat="1" ht="18" customHeight="1" thickTop="1">
      <c r="A79" s="21"/>
      <c r="B79" s="21"/>
      <c r="C79" s="21"/>
      <c r="D79" s="21"/>
      <c r="E79" s="21"/>
      <c r="F79" s="106"/>
      <c r="G79" s="21"/>
      <c r="H79" s="159">
        <f>SUM(D78-G78)</f>
        <v>-7.450580596923828E-09</v>
      </c>
      <c r="I79" s="159"/>
      <c r="J79" s="159"/>
      <c r="K79" s="159"/>
      <c r="L79" s="159">
        <f>SUM(2060656.05-2060634.05)</f>
        <v>22</v>
      </c>
      <c r="M79" s="159"/>
      <c r="N79" s="159"/>
      <c r="O79" s="240"/>
      <c r="P79" s="159"/>
      <c r="Q79" s="106"/>
      <c r="R79" s="106"/>
      <c r="S79" s="159"/>
    </row>
    <row r="80" spans="1:19" s="107" customFormat="1" ht="18" customHeight="1">
      <c r="A80" s="21"/>
      <c r="B80" s="21"/>
      <c r="C80" s="21"/>
      <c r="D80" s="21"/>
      <c r="E80" s="21"/>
      <c r="F80" s="106"/>
      <c r="G80" s="108"/>
      <c r="H80" s="159"/>
      <c r="I80" s="159">
        <f>SUM(D78-G78)</f>
        <v>-7.450580596923828E-09</v>
      </c>
      <c r="J80" s="159"/>
      <c r="K80" s="159"/>
      <c r="L80" s="159"/>
      <c r="M80" s="159"/>
      <c r="N80" s="159"/>
      <c r="O80" s="240"/>
      <c r="P80" s="159"/>
      <c r="Q80" s="106"/>
      <c r="R80" s="106"/>
      <c r="S80" s="159"/>
    </row>
    <row r="81" spans="1:19" s="107" customFormat="1" ht="18" customHeight="1">
      <c r="A81" s="21"/>
      <c r="B81" s="21"/>
      <c r="C81" s="21"/>
      <c r="D81" s="21"/>
      <c r="E81" s="21"/>
      <c r="F81" s="106" t="s">
        <v>16</v>
      </c>
      <c r="G81" s="21"/>
      <c r="H81" s="159">
        <v>139850</v>
      </c>
      <c r="I81" s="159" t="s">
        <v>196</v>
      </c>
      <c r="J81" s="159"/>
      <c r="K81" s="159"/>
      <c r="L81" s="159"/>
      <c r="M81" s="159"/>
      <c r="N81" s="159"/>
      <c r="O81" s="240"/>
      <c r="P81" s="159"/>
      <c r="Q81" s="106"/>
      <c r="R81" s="106"/>
      <c r="S81" s="159"/>
    </row>
    <row r="82" spans="8:15" ht="18.75">
      <c r="H82" s="20">
        <v>12149</v>
      </c>
      <c r="I82" s="20" t="s">
        <v>195</v>
      </c>
      <c r="O82" s="242"/>
    </row>
    <row r="83" spans="8:15" ht="18.75">
      <c r="H83" s="20">
        <f>SUM(H81-H82)</f>
        <v>127701</v>
      </c>
      <c r="O83" s="242"/>
    </row>
    <row r="84" spans="7:15" ht="18.75">
      <c r="G84" s="161"/>
      <c r="O84" s="242"/>
    </row>
  </sheetData>
  <sheetProtection/>
  <mergeCells count="7">
    <mergeCell ref="A42:D42"/>
    <mergeCell ref="A1:G1"/>
    <mergeCell ref="A2:G2"/>
    <mergeCell ref="A3:G3"/>
    <mergeCell ref="A4:G4"/>
    <mergeCell ref="A5:G5"/>
    <mergeCell ref="A6:D6"/>
  </mergeCells>
  <printOptions/>
  <pageMargins left="0.48" right="0.19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44.00390625" style="119" customWidth="1"/>
    <col min="2" max="2" width="10.140625" style="119" customWidth="1"/>
    <col min="3" max="3" width="13.7109375" style="119" customWidth="1"/>
    <col min="4" max="4" width="14.140625" style="119" customWidth="1"/>
    <col min="5" max="5" width="14.421875" style="119" customWidth="1"/>
    <col min="6" max="6" width="15.28125" style="120" bestFit="1" customWidth="1"/>
    <col min="7" max="16384" width="9.00390625" style="119" customWidth="1"/>
  </cols>
  <sheetData>
    <row r="1" spans="1:4" ht="21.75" customHeight="1">
      <c r="A1" s="252" t="s">
        <v>18</v>
      </c>
      <c r="B1" s="252"/>
      <c r="C1" s="252"/>
      <c r="D1" s="252"/>
    </row>
    <row r="2" spans="1:4" ht="21.75" customHeight="1">
      <c r="A2" s="253" t="s">
        <v>0</v>
      </c>
      <c r="B2" s="253"/>
      <c r="C2" s="253"/>
      <c r="D2" s="253"/>
    </row>
    <row r="3" spans="1:4" ht="21.75" customHeight="1">
      <c r="A3" s="253" t="s">
        <v>217</v>
      </c>
      <c r="B3" s="253"/>
      <c r="C3" s="253"/>
      <c r="D3" s="253"/>
    </row>
    <row r="4" spans="1:4" ht="21.75" customHeight="1">
      <c r="A4" s="254" t="s">
        <v>271</v>
      </c>
      <c r="B4" s="254"/>
      <c r="C4" s="254"/>
      <c r="D4" s="254"/>
    </row>
    <row r="5" spans="1:4" ht="19.5" customHeight="1">
      <c r="A5" s="121" t="s">
        <v>1</v>
      </c>
      <c r="B5" s="121" t="s">
        <v>2</v>
      </c>
      <c r="C5" s="121" t="s">
        <v>3</v>
      </c>
      <c r="D5" s="121" t="s">
        <v>4</v>
      </c>
    </row>
    <row r="6" spans="1:5" ht="19.5" customHeight="1">
      <c r="A6" s="122" t="s">
        <v>5</v>
      </c>
      <c r="B6" s="123" t="s">
        <v>163</v>
      </c>
      <c r="C6" s="124">
        <v>0</v>
      </c>
      <c r="D6" s="125"/>
      <c r="E6" s="126"/>
    </row>
    <row r="7" spans="1:4" ht="19.5" customHeight="1">
      <c r="A7" s="127" t="s">
        <v>233</v>
      </c>
      <c r="B7" s="128" t="s">
        <v>122</v>
      </c>
      <c r="C7" s="224">
        <f>4177053.24+221739.95-93000+248513.5-92200+166521.4-91400+307680.8-89800+368641.11-89000+559221.4-89800+289973.46-90600+293429.5-91400+316617.85-91400</f>
        <v>6130792.210000001</v>
      </c>
      <c r="D7" s="129"/>
    </row>
    <row r="8" spans="1:5" ht="19.5" customHeight="1">
      <c r="A8" s="127" t="s">
        <v>234</v>
      </c>
      <c r="B8" s="128" t="s">
        <v>122</v>
      </c>
      <c r="C8" s="224">
        <f>624929.21+22429.99</f>
        <v>647359.2</v>
      </c>
      <c r="D8" s="129"/>
      <c r="E8" s="130"/>
    </row>
    <row r="9" spans="1:6" ht="19.5" customHeight="1">
      <c r="A9" s="127" t="s">
        <v>235</v>
      </c>
      <c r="B9" s="128" t="s">
        <v>122</v>
      </c>
      <c r="C9" s="201">
        <f>8899043.27+1576406-2284346.04+6911153.7-4064215.1+4727287.14-2952809.78+2096257.6-2166803.6+1897444.25-3448250.7-0.01+40+1120043.43-40-2981649.86+4233376.59-1880771.5+1417696.21-2651423.24+1746242.08-2235171.86</f>
        <v>9959508.579999998</v>
      </c>
      <c r="D9" s="129"/>
      <c r="E9" s="119">
        <v>11263241.75</v>
      </c>
      <c r="F9" s="120" t="e">
        <f>SUM(#REF!+#REF!+#REF!+#REF!)</f>
        <v>#REF!</v>
      </c>
    </row>
    <row r="10" spans="1:4" ht="19.5" customHeight="1">
      <c r="A10" s="127" t="s">
        <v>267</v>
      </c>
      <c r="B10" s="128" t="s">
        <v>122</v>
      </c>
      <c r="C10" s="201">
        <f>380500-26000</f>
        <v>354500</v>
      </c>
      <c r="D10" s="129"/>
    </row>
    <row r="11" spans="1:5" ht="19.5" customHeight="1">
      <c r="A11" s="127" t="s">
        <v>99</v>
      </c>
      <c r="B11" s="128" t="s">
        <v>123</v>
      </c>
      <c r="C11" s="201">
        <f>847937.43+75959.94+285929.88</f>
        <v>1209827.25</v>
      </c>
      <c r="D11" s="129"/>
      <c r="E11" s="119">
        <v>11191166.74</v>
      </c>
    </row>
    <row r="12" spans="1:5" ht="19.5" customHeight="1">
      <c r="A12" s="127" t="s">
        <v>219</v>
      </c>
      <c r="B12" s="128" t="s">
        <v>121</v>
      </c>
      <c r="C12" s="124">
        <v>26000</v>
      </c>
      <c r="D12" s="129"/>
      <c r="E12" s="119">
        <f>SUM(E9-E11)</f>
        <v>72075.00999999978</v>
      </c>
    </row>
    <row r="13" spans="1:4" ht="19.5" customHeight="1">
      <c r="A13" s="127" t="s">
        <v>253</v>
      </c>
      <c r="B13" s="128" t="s">
        <v>254</v>
      </c>
      <c r="C13" s="124">
        <v>0</v>
      </c>
      <c r="D13" s="174"/>
    </row>
    <row r="14" spans="1:4" ht="19.5" customHeight="1">
      <c r="A14" s="127" t="s">
        <v>218</v>
      </c>
      <c r="B14" s="128" t="s">
        <v>198</v>
      </c>
      <c r="C14" s="201">
        <f>10017-1125-4500</f>
        <v>4392</v>
      </c>
      <c r="D14" s="129"/>
    </row>
    <row r="15" spans="1:4" ht="19.5" customHeight="1">
      <c r="A15" s="127" t="s">
        <v>212</v>
      </c>
      <c r="B15" s="128" t="s">
        <v>120</v>
      </c>
      <c r="C15" s="124">
        <f>350167+47212-42546+46678-40832-22788+30692-7154+40248-34650+53810-10970-10626+49944-54462+30092-74210+65890</f>
        <v>416495</v>
      </c>
      <c r="D15" s="174"/>
    </row>
    <row r="16" spans="1:5" ht="19.5" customHeight="1">
      <c r="A16" s="127" t="s">
        <v>68</v>
      </c>
      <c r="B16" s="128" t="s">
        <v>126</v>
      </c>
      <c r="C16" s="124">
        <f>1000+32800+208200+559090+1211521.9+547391+543417+542634+543288+543034+541034</f>
        <v>5273409.9</v>
      </c>
      <c r="D16" s="129"/>
      <c r="E16" s="130"/>
    </row>
    <row r="17" spans="1:5" ht="19.5" customHeight="1">
      <c r="A17" s="127" t="s">
        <v>6</v>
      </c>
      <c r="B17" s="128" t="s">
        <v>127</v>
      </c>
      <c r="C17" s="124">
        <f>218720+218720+218720+218720+218720+218720+218720+218720+218720</f>
        <v>1968480</v>
      </c>
      <c r="D17" s="129"/>
      <c r="E17" s="130"/>
    </row>
    <row r="18" spans="1:5" ht="19.5" customHeight="1">
      <c r="A18" s="127" t="s">
        <v>7</v>
      </c>
      <c r="B18" s="128" t="s">
        <v>128</v>
      </c>
      <c r="C18" s="124">
        <f>552429+543215+548215+560642+567987+596294+627114+604874+593830</f>
        <v>5194600</v>
      </c>
      <c r="D18" s="129"/>
      <c r="E18" s="130">
        <f>SUM(C18:C18)</f>
        <v>5194600</v>
      </c>
    </row>
    <row r="19" spans="1:5" ht="19.5" customHeight="1">
      <c r="A19" s="127" t="s">
        <v>8</v>
      </c>
      <c r="B19" s="128" t="s">
        <v>129</v>
      </c>
      <c r="C19" s="124">
        <f>3000+6000+21050+11460+17820+21760+14880+54260+8400</f>
        <v>158630</v>
      </c>
      <c r="D19" s="129"/>
      <c r="E19" s="126"/>
    </row>
    <row r="20" spans="1:6" ht="19.5" customHeight="1">
      <c r="A20" s="200" t="s">
        <v>9</v>
      </c>
      <c r="B20" s="128" t="s">
        <v>130</v>
      </c>
      <c r="C20" s="124">
        <f>56670.74+985105.5+258000+519050.5+319542.82+492750.75+706488.25+263493.5+585593.6+408443.06-112800-140400</f>
        <v>4341938.72</v>
      </c>
      <c r="D20" s="129"/>
      <c r="F20" s="120">
        <f>SUM(1239800+139500+2100+900)</f>
        <v>1382300</v>
      </c>
    </row>
    <row r="21" spans="1:6" ht="19.5" customHeight="1">
      <c r="A21" s="127" t="s">
        <v>10</v>
      </c>
      <c r="B21" s="128" t="s">
        <v>131</v>
      </c>
      <c r="C21" s="124">
        <f>13780.1+8200.35+120643.71+154276+122507.8+78082+527909+133724.6</f>
        <v>1159123.56</v>
      </c>
      <c r="D21" s="129"/>
      <c r="E21" s="130"/>
      <c r="F21" s="120">
        <f>405400+43000+2100+900</f>
        <v>451400</v>
      </c>
    </row>
    <row r="22" spans="1:6" ht="19.5" customHeight="1">
      <c r="A22" s="127" t="s">
        <v>11</v>
      </c>
      <c r="B22" s="128" t="s">
        <v>132</v>
      </c>
      <c r="C22" s="124">
        <f>57592.31+47855.81+59925.34+65466.62+63100.85+70477.75+93322.65+85827.4+86089.61</f>
        <v>629658.34</v>
      </c>
      <c r="D22" s="129"/>
      <c r="F22" s="120">
        <f>SUM(F20-F21)</f>
        <v>930900</v>
      </c>
    </row>
    <row r="23" spans="1:6" ht="19.5" customHeight="1">
      <c r="A23" s="127" t="s">
        <v>12</v>
      </c>
      <c r="B23" s="128" t="s">
        <v>164</v>
      </c>
      <c r="C23" s="124">
        <f>100000+306000+462000+331000+112800+140400</f>
        <v>1452200</v>
      </c>
      <c r="D23" s="129"/>
      <c r="F23" s="120" t="e">
        <f>SUM(#REF!-F22)</f>
        <v>#REF!</v>
      </c>
    </row>
    <row r="24" spans="1:4" ht="19.5" customHeight="1">
      <c r="A24" s="127" t="s">
        <v>13</v>
      </c>
      <c r="B24" s="128" t="s">
        <v>133</v>
      </c>
      <c r="C24" s="124">
        <f>94580+16000+28250+75700</f>
        <v>214530</v>
      </c>
      <c r="D24" s="129"/>
    </row>
    <row r="25" spans="1:6" ht="19.5" customHeight="1">
      <c r="A25" s="127" t="s">
        <v>14</v>
      </c>
      <c r="B25" s="128" t="s">
        <v>134</v>
      </c>
      <c r="C25" s="124">
        <f>224000+258000+49500</f>
        <v>531500</v>
      </c>
      <c r="D25" s="129"/>
      <c r="F25" s="120">
        <f>800+1500+800+1500</f>
        <v>4600</v>
      </c>
    </row>
    <row r="26" spans="1:4" ht="19.5" customHeight="1">
      <c r="A26" s="127" t="s">
        <v>239</v>
      </c>
      <c r="B26" s="128" t="s">
        <v>134</v>
      </c>
      <c r="C26" s="124">
        <v>0</v>
      </c>
      <c r="D26" s="129"/>
    </row>
    <row r="27" spans="1:4" ht="19.5" customHeight="1">
      <c r="A27" s="127" t="s">
        <v>255</v>
      </c>
      <c r="B27" s="128" t="s">
        <v>256</v>
      </c>
      <c r="C27" s="124">
        <v>0</v>
      </c>
      <c r="D27" s="131">
        <f>40-40</f>
        <v>0</v>
      </c>
    </row>
    <row r="28" spans="1:4" ht="19.5" customHeight="1">
      <c r="A28" s="127" t="s">
        <v>197</v>
      </c>
      <c r="B28" s="128" t="s">
        <v>135</v>
      </c>
      <c r="C28" s="124">
        <v>0</v>
      </c>
      <c r="D28" s="131">
        <f>2151000+52388.4-1495000-656000</f>
        <v>52388.39999999991</v>
      </c>
    </row>
    <row r="29" spans="1:4" ht="19.5" customHeight="1">
      <c r="A29" s="127" t="s">
        <v>232</v>
      </c>
      <c r="B29" s="128" t="s">
        <v>138</v>
      </c>
      <c r="C29" s="124">
        <v>0</v>
      </c>
      <c r="D29" s="124">
        <f>1460015.31+14368.68-341865.97+97973.87-87492.68+15487.18-29213.87+52418.1-16108.18+50840.42-25187.98+58647.37-72747.88+13078.37-57037.82+399470.07-64942.47+13065.1-18371.23</f>
        <v>1462396.3900000004</v>
      </c>
    </row>
    <row r="30" spans="1:4" ht="19.5" customHeight="1">
      <c r="A30" s="193" t="s">
        <v>115</v>
      </c>
      <c r="B30" s="128" t="s">
        <v>136</v>
      </c>
      <c r="C30" s="124">
        <v>0</v>
      </c>
      <c r="D30" s="131">
        <v>0</v>
      </c>
    </row>
    <row r="31" spans="1:4" ht="19.5" customHeight="1">
      <c r="A31" s="127" t="s">
        <v>92</v>
      </c>
      <c r="B31" s="128" t="s">
        <v>119</v>
      </c>
      <c r="C31" s="124">
        <v>0</v>
      </c>
      <c r="D31" s="124">
        <f>6247257.43+1000+1000+1000+1000+1500+1000+518.01-305000+1000-138500+1000+1000+1000</f>
        <v>5814775.4399999995</v>
      </c>
    </row>
    <row r="32" spans="1:6" ht="19.5" customHeight="1">
      <c r="A32" s="127" t="s">
        <v>93</v>
      </c>
      <c r="B32" s="128" t="s">
        <v>137</v>
      </c>
      <c r="C32" s="124">
        <v>0</v>
      </c>
      <c r="D32" s="124">
        <f>6846528.3-149500-499000</f>
        <v>6198028.3</v>
      </c>
      <c r="E32" s="132"/>
      <c r="F32" s="120" t="e">
        <f>SUM(#REF!)</f>
        <v>#REF!</v>
      </c>
    </row>
    <row r="33" spans="1:4" ht="21.75" customHeight="1">
      <c r="A33" s="127" t="s">
        <v>231</v>
      </c>
      <c r="B33" s="128" t="s">
        <v>118</v>
      </c>
      <c r="C33" s="124">
        <v>0</v>
      </c>
      <c r="D33" s="124">
        <f>128292.9+7148313.2+4912412.54+2353092.03+1603385.81+1713615.26+4547906.15+1684822.87+2053515.47</f>
        <v>26145356.23</v>
      </c>
    </row>
    <row r="34" spans="1:4" ht="19.5" customHeight="1" thickBot="1">
      <c r="A34" s="255" t="s">
        <v>17</v>
      </c>
      <c r="B34" s="256"/>
      <c r="C34" s="140">
        <f>SUM(C6:C33)</f>
        <v>39672944.760000005</v>
      </c>
      <c r="D34" s="140">
        <f>SUM(D6:D33)</f>
        <v>39672944.76</v>
      </c>
    </row>
    <row r="35" spans="1:4" ht="19.5" customHeight="1" thickTop="1">
      <c r="A35" s="133"/>
      <c r="B35" s="134"/>
      <c r="C35" s="135"/>
      <c r="D35" s="135"/>
    </row>
    <row r="36" spans="1:4" ht="19.5" customHeight="1">
      <c r="A36" s="133"/>
      <c r="B36" s="134"/>
      <c r="C36" s="135"/>
      <c r="D36" s="135"/>
    </row>
    <row r="37" spans="1:4" ht="19.5" customHeight="1">
      <c r="A37" s="133"/>
      <c r="B37" s="134"/>
      <c r="C37" s="135"/>
      <c r="D37" s="135"/>
    </row>
    <row r="38" spans="1:4" ht="19.5" customHeight="1">
      <c r="A38" s="133"/>
      <c r="B38" s="134"/>
      <c r="C38" s="135"/>
      <c r="D38" s="135"/>
    </row>
    <row r="39" spans="1:4" ht="19.5" customHeight="1">
      <c r="A39" s="133"/>
      <c r="B39" s="134"/>
      <c r="C39" s="135"/>
      <c r="D39" s="135"/>
    </row>
    <row r="40" spans="1:4" ht="19.5" customHeight="1">
      <c r="A40" s="133"/>
      <c r="B40" s="134"/>
      <c r="C40" s="135"/>
      <c r="D40" s="135"/>
    </row>
    <row r="41" spans="1:4" ht="19.5" customHeight="1">
      <c r="A41" s="133"/>
      <c r="B41" s="134"/>
      <c r="C41" s="135"/>
      <c r="D41" s="135">
        <f>SUM(D34-C34)</f>
        <v>-7.450580596923828E-09</v>
      </c>
    </row>
    <row r="42" spans="1:4" ht="19.5" customHeight="1">
      <c r="A42" s="133"/>
      <c r="B42" s="134"/>
      <c r="C42" s="135"/>
      <c r="D42" s="135"/>
    </row>
    <row r="43" spans="1:4" ht="19.5" customHeight="1">
      <c r="A43" s="133"/>
      <c r="B43" s="134"/>
      <c r="C43" s="135"/>
      <c r="D43" s="135"/>
    </row>
    <row r="44" spans="1:4" ht="19.5" customHeight="1">
      <c r="A44" s="133"/>
      <c r="B44" s="134"/>
      <c r="C44" s="135"/>
      <c r="D44" s="135"/>
    </row>
    <row r="45" spans="1:4" ht="19.5" customHeight="1">
      <c r="A45" s="133"/>
      <c r="B45" s="134"/>
      <c r="C45" s="135"/>
      <c r="D45" s="135"/>
    </row>
    <row r="46" spans="1:4" ht="19.5" customHeight="1">
      <c r="A46" s="133"/>
      <c r="B46" s="134"/>
      <c r="C46" s="135"/>
      <c r="D46" s="135"/>
    </row>
    <row r="47" ht="19.5" customHeight="1">
      <c r="C47" s="126"/>
    </row>
    <row r="48" spans="3:4" ht="19.5" customHeight="1">
      <c r="C48" s="126"/>
      <c r="D48" s="126"/>
    </row>
  </sheetData>
  <sheetProtection/>
  <mergeCells count="5">
    <mergeCell ref="A1:D1"/>
    <mergeCell ref="A2:D2"/>
    <mergeCell ref="A3:D3"/>
    <mergeCell ref="A4:D4"/>
    <mergeCell ref="A34:B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16">
      <selection activeCell="A84" sqref="A84"/>
    </sheetView>
  </sheetViews>
  <sheetFormatPr defaultColWidth="9.140625" defaultRowHeight="19.5" customHeight="1"/>
  <cols>
    <col min="1" max="1" width="47.421875" style="173" customWidth="1"/>
    <col min="2" max="2" width="9.28125" style="151" customWidth="1"/>
    <col min="3" max="3" width="13.28125" style="215" customWidth="1"/>
    <col min="4" max="4" width="13.140625" style="173" customWidth="1"/>
    <col min="5" max="5" width="11.140625" style="173" customWidth="1"/>
    <col min="6" max="6" width="9.00390625" style="151" customWidth="1"/>
    <col min="7" max="7" width="10.421875" style="151" bestFit="1" customWidth="1"/>
    <col min="8" max="16384" width="9.00390625" style="151" customWidth="1"/>
  </cols>
  <sheetData>
    <row r="1" spans="1:5" ht="31.5" customHeight="1">
      <c r="A1" s="257" t="s">
        <v>91</v>
      </c>
      <c r="B1" s="257"/>
      <c r="C1" s="257"/>
      <c r="D1" s="257"/>
      <c r="E1" s="257"/>
    </row>
    <row r="2" spans="1:5" ht="24" customHeight="1">
      <c r="A2" s="258" t="s">
        <v>71</v>
      </c>
      <c r="B2" s="258"/>
      <c r="C2" s="258"/>
      <c r="D2" s="258"/>
      <c r="E2" s="258"/>
    </row>
    <row r="3" spans="1:5" ht="24" customHeight="1">
      <c r="A3" s="258" t="s">
        <v>193</v>
      </c>
      <c r="B3" s="258"/>
      <c r="C3" s="258"/>
      <c r="D3" s="258"/>
      <c r="E3" s="258"/>
    </row>
    <row r="4" spans="1:5" ht="24" customHeight="1">
      <c r="A4" s="258" t="s">
        <v>268</v>
      </c>
      <c r="B4" s="258"/>
      <c r="C4" s="258"/>
      <c r="D4" s="258"/>
      <c r="E4" s="258"/>
    </row>
    <row r="5" spans="1:5" ht="24" customHeight="1">
      <c r="A5" s="54"/>
      <c r="B5" s="54"/>
      <c r="C5" s="54"/>
      <c r="D5" s="54"/>
      <c r="E5" s="148" t="s">
        <v>192</v>
      </c>
    </row>
    <row r="6" spans="1:5" ht="19.5" customHeight="1">
      <c r="A6" s="55"/>
      <c r="B6" s="56" t="s">
        <v>2</v>
      </c>
      <c r="C6" s="57" t="s">
        <v>24</v>
      </c>
      <c r="D6" s="164" t="s">
        <v>72</v>
      </c>
      <c r="E6" s="58" t="s">
        <v>73</v>
      </c>
    </row>
    <row r="7" spans="1:5" ht="21.75" customHeight="1">
      <c r="A7" s="59" t="s">
        <v>165</v>
      </c>
      <c r="B7" s="60">
        <v>41000000</v>
      </c>
      <c r="C7" s="61"/>
      <c r="D7" s="165"/>
      <c r="E7" s="62"/>
    </row>
    <row r="8" spans="1:5" ht="21.75" customHeight="1">
      <c r="A8" s="63" t="s">
        <v>74</v>
      </c>
      <c r="B8" s="64" t="s">
        <v>139</v>
      </c>
      <c r="C8" s="61"/>
      <c r="D8" s="165"/>
      <c r="E8" s="62"/>
    </row>
    <row r="9" spans="1:7" ht="21.75" customHeight="1">
      <c r="A9" s="65" t="s">
        <v>75</v>
      </c>
      <c r="B9" s="64" t="s">
        <v>166</v>
      </c>
      <c r="C9" s="66">
        <v>493000</v>
      </c>
      <c r="D9" s="166">
        <f>4171.5+36158+345775.99+102251.73+15726.97</f>
        <v>504084.18999999994</v>
      </c>
      <c r="E9" s="67">
        <v>0</v>
      </c>
      <c r="G9" s="160">
        <f>SUM(C9-D9)</f>
        <v>-11084.189999999944</v>
      </c>
    </row>
    <row r="10" spans="1:7" ht="21.75" customHeight="1">
      <c r="A10" s="65" t="s">
        <v>76</v>
      </c>
      <c r="B10" s="64" t="s">
        <v>167</v>
      </c>
      <c r="C10" s="66">
        <v>40000</v>
      </c>
      <c r="D10" s="166">
        <f>13627.73+10130.11+8064.44+4975.33+1877.17+465.04</f>
        <v>39139.82</v>
      </c>
      <c r="E10" s="67">
        <v>465.04</v>
      </c>
      <c r="G10" s="160">
        <f>SUM(C10-D10)</f>
        <v>860.1800000000003</v>
      </c>
    </row>
    <row r="11" spans="1:7" ht="21.75" customHeight="1">
      <c r="A11" s="65" t="s">
        <v>77</v>
      </c>
      <c r="B11" s="68" t="s">
        <v>168</v>
      </c>
      <c r="C11" s="69">
        <v>25600</v>
      </c>
      <c r="D11" s="166">
        <f>200+960+10980+10530</f>
        <v>22670</v>
      </c>
      <c r="E11" s="67">
        <v>0</v>
      </c>
      <c r="G11" s="160">
        <f>SUM(C11-D11)</f>
        <v>2930</v>
      </c>
    </row>
    <row r="12" spans="1:5" ht="21.75" customHeight="1">
      <c r="A12" s="70" t="s">
        <v>17</v>
      </c>
      <c r="B12" s="71"/>
      <c r="C12" s="72">
        <f>SUM(C9:C11)</f>
        <v>558600</v>
      </c>
      <c r="D12" s="167">
        <f>SUM(D9:D11)</f>
        <v>565894.0099999999</v>
      </c>
      <c r="E12" s="73">
        <f>SUM(E9:E11)</f>
        <v>465.04</v>
      </c>
    </row>
    <row r="13" spans="1:5" ht="21.75" customHeight="1">
      <c r="A13" s="63" t="s">
        <v>78</v>
      </c>
      <c r="B13" s="71">
        <v>41200000</v>
      </c>
      <c r="C13" s="74"/>
      <c r="D13" s="166"/>
      <c r="E13" s="67"/>
    </row>
    <row r="14" spans="1:7" ht="21.75" customHeight="1">
      <c r="A14" s="65" t="s">
        <v>223</v>
      </c>
      <c r="B14" s="64" t="s">
        <v>171</v>
      </c>
      <c r="C14" s="66">
        <v>600</v>
      </c>
      <c r="D14" s="67">
        <f>19.4+87.3+349.2+87.3+116.4+29.1</f>
        <v>688.6999999999999</v>
      </c>
      <c r="E14" s="67">
        <v>29.1</v>
      </c>
      <c r="G14" s="212"/>
    </row>
    <row r="15" spans="1:7" ht="21.75" customHeight="1">
      <c r="A15" s="65" t="s">
        <v>222</v>
      </c>
      <c r="B15" s="64" t="s">
        <v>170</v>
      </c>
      <c r="C15" s="66">
        <v>1500</v>
      </c>
      <c r="D15" s="67">
        <f>42.5+1143+324.4+29.3+30+80</f>
        <v>1649.2</v>
      </c>
      <c r="E15" s="67">
        <v>80</v>
      </c>
      <c r="G15" s="212">
        <f>SUM(C15-D15)</f>
        <v>-149.20000000000005</v>
      </c>
    </row>
    <row r="16" spans="1:7" ht="21.75" customHeight="1">
      <c r="A16" s="65" t="s">
        <v>220</v>
      </c>
      <c r="B16" s="64" t="s">
        <v>169</v>
      </c>
      <c r="C16" s="66">
        <v>74000</v>
      </c>
      <c r="D16" s="67">
        <f>14000+14400+3600+6480+1920+12080</f>
        <v>52480</v>
      </c>
      <c r="E16" s="67">
        <v>0</v>
      </c>
      <c r="G16" s="212">
        <f>SUM(C16-D16)</f>
        <v>21520</v>
      </c>
    </row>
    <row r="17" spans="1:7" ht="21.75" customHeight="1">
      <c r="A17" s="65" t="s">
        <v>176</v>
      </c>
      <c r="B17" s="64" t="s">
        <v>140</v>
      </c>
      <c r="C17" s="66">
        <v>25560</v>
      </c>
      <c r="D17" s="67">
        <v>0</v>
      </c>
      <c r="E17" s="67">
        <v>0</v>
      </c>
      <c r="G17" s="212"/>
    </row>
    <row r="18" spans="1:7" ht="21.75" customHeight="1">
      <c r="A18" s="65" t="s">
        <v>221</v>
      </c>
      <c r="B18" s="64" t="s">
        <v>172</v>
      </c>
      <c r="C18" s="66">
        <v>550</v>
      </c>
      <c r="D18" s="67">
        <f>150+50+150+100+50</f>
        <v>500</v>
      </c>
      <c r="E18" s="67">
        <v>0</v>
      </c>
      <c r="G18" s="212">
        <f aca="true" t="shared" si="0" ref="G18:G25">SUM(C18-D18)</f>
        <v>50</v>
      </c>
    </row>
    <row r="19" spans="1:7" ht="21.75" customHeight="1">
      <c r="A19" s="65" t="s">
        <v>177</v>
      </c>
      <c r="B19" s="64" t="s">
        <v>173</v>
      </c>
      <c r="C19" s="66">
        <v>2000000</v>
      </c>
      <c r="D19" s="67">
        <f>175076.65+140126.25+216728.6+272411.45+157547.7+157999.2+204884.25+234410.2</f>
        <v>1559184.2999999998</v>
      </c>
      <c r="E19" s="67">
        <v>234410.2</v>
      </c>
      <c r="G19" s="212"/>
    </row>
    <row r="20" spans="1:7" ht="21.75" customHeight="1">
      <c r="A20" s="65" t="s">
        <v>178</v>
      </c>
      <c r="B20" s="60">
        <v>41219999</v>
      </c>
      <c r="C20" s="66">
        <v>19000</v>
      </c>
      <c r="D20" s="75">
        <f>320+580+2520+6340+840+1380+360+360+940</f>
        <v>13640</v>
      </c>
      <c r="E20" s="75">
        <v>940</v>
      </c>
      <c r="G20" s="212">
        <f t="shared" si="0"/>
        <v>5360</v>
      </c>
    </row>
    <row r="21" spans="1:7" ht="21.75" customHeight="1">
      <c r="A21" s="65" t="s">
        <v>179</v>
      </c>
      <c r="B21" s="64" t="s">
        <v>174</v>
      </c>
      <c r="C21" s="66">
        <v>5000</v>
      </c>
      <c r="D21" s="75">
        <f>200+200+800</f>
        <v>1200</v>
      </c>
      <c r="E21" s="75">
        <v>800</v>
      </c>
      <c r="G21" s="212">
        <f t="shared" si="0"/>
        <v>3800</v>
      </c>
    </row>
    <row r="22" spans="1:7" ht="21.75" customHeight="1">
      <c r="A22" s="65" t="s">
        <v>180</v>
      </c>
      <c r="B22" s="60">
        <v>41220009</v>
      </c>
      <c r="C22" s="76">
        <v>1500</v>
      </c>
      <c r="D22" s="75">
        <f>75.9+62.35+37.15+53.6+15.25+62.6+3.35+518.15</f>
        <v>828.35</v>
      </c>
      <c r="E22" s="75">
        <v>518.15</v>
      </c>
      <c r="G22" s="212">
        <f t="shared" si="0"/>
        <v>671.65</v>
      </c>
    </row>
    <row r="23" spans="1:7" ht="21.75" customHeight="1">
      <c r="A23" s="65" t="s">
        <v>181</v>
      </c>
      <c r="B23" s="77">
        <v>41220010</v>
      </c>
      <c r="C23" s="66">
        <v>16000</v>
      </c>
      <c r="D23" s="67">
        <f>11700+16467+200</f>
        <v>28367</v>
      </c>
      <c r="E23" s="67">
        <v>0</v>
      </c>
      <c r="G23" s="212"/>
    </row>
    <row r="24" spans="1:7" ht="21.75" customHeight="1">
      <c r="A24" s="65" t="s">
        <v>117</v>
      </c>
      <c r="B24" s="64" t="s">
        <v>175</v>
      </c>
      <c r="C24" s="66">
        <v>200</v>
      </c>
      <c r="D24" s="67">
        <f>20+20+20+20+20+20</f>
        <v>120</v>
      </c>
      <c r="E24" s="67">
        <v>20</v>
      </c>
      <c r="G24" s="212">
        <f>SUM(C24-D24)</f>
        <v>80</v>
      </c>
    </row>
    <row r="25" spans="1:7" ht="21.75" customHeight="1">
      <c r="A25" s="65" t="s">
        <v>182</v>
      </c>
      <c r="B25" s="68" t="s">
        <v>141</v>
      </c>
      <c r="C25" s="76">
        <v>1000</v>
      </c>
      <c r="D25" s="67">
        <v>0</v>
      </c>
      <c r="E25" s="67">
        <v>0</v>
      </c>
      <c r="G25" s="212">
        <f t="shared" si="0"/>
        <v>1000</v>
      </c>
    </row>
    <row r="26" spans="1:5" ht="21.75" customHeight="1">
      <c r="A26" s="70" t="s">
        <v>17</v>
      </c>
      <c r="B26" s="64"/>
      <c r="C26" s="78">
        <f>SUM(C14:C25)</f>
        <v>2144910</v>
      </c>
      <c r="D26" s="57">
        <f>SUM(D13:D25)</f>
        <v>1658657.5499999998</v>
      </c>
      <c r="E26" s="73">
        <f>SUM(E14:E25)</f>
        <v>236797.45</v>
      </c>
    </row>
    <row r="27" spans="1:5" ht="21.75" customHeight="1">
      <c r="A27" s="63" t="s">
        <v>79</v>
      </c>
      <c r="B27" s="60">
        <v>41300000</v>
      </c>
      <c r="C27" s="61"/>
      <c r="D27" s="165"/>
      <c r="E27" s="62"/>
    </row>
    <row r="28" spans="1:7" ht="21.75" customHeight="1">
      <c r="A28" s="65" t="s">
        <v>80</v>
      </c>
      <c r="B28" s="60">
        <v>41300003</v>
      </c>
      <c r="C28" s="66">
        <v>104000</v>
      </c>
      <c r="D28" s="79">
        <f>40379.83+9086.71</f>
        <v>49466.54</v>
      </c>
      <c r="E28" s="80">
        <v>0</v>
      </c>
      <c r="G28" s="160">
        <f>SUM(C28-D28)</f>
        <v>54533.46</v>
      </c>
    </row>
    <row r="29" spans="1:7" ht="21.75" customHeight="1">
      <c r="A29" s="65" t="s">
        <v>188</v>
      </c>
      <c r="B29" s="64" t="s">
        <v>142</v>
      </c>
      <c r="C29" s="66">
        <v>600000</v>
      </c>
      <c r="D29" s="166">
        <v>0</v>
      </c>
      <c r="E29" s="67">
        <v>0</v>
      </c>
      <c r="G29" s="160">
        <f>SUM(C29-D29)</f>
        <v>600000</v>
      </c>
    </row>
    <row r="30" spans="1:5" ht="21.75" customHeight="1">
      <c r="A30" s="70" t="s">
        <v>17</v>
      </c>
      <c r="B30" s="81"/>
      <c r="C30" s="72">
        <f>SUM(C28:C29)</f>
        <v>704000</v>
      </c>
      <c r="D30" s="167">
        <f>SUM(D28:D29)</f>
        <v>49466.54</v>
      </c>
      <c r="E30" s="73">
        <f>SUM(E28:E29)</f>
        <v>0</v>
      </c>
    </row>
    <row r="31" spans="1:5" ht="21.75" customHeight="1">
      <c r="A31" s="63" t="s">
        <v>81</v>
      </c>
      <c r="B31" s="60">
        <v>41400000</v>
      </c>
      <c r="C31" s="82"/>
      <c r="D31" s="168"/>
      <c r="E31" s="209"/>
    </row>
    <row r="32" spans="1:7" ht="21.75" customHeight="1">
      <c r="A32" s="83" t="s">
        <v>187</v>
      </c>
      <c r="B32" s="60">
        <v>41400006</v>
      </c>
      <c r="C32" s="84">
        <v>350000</v>
      </c>
      <c r="D32" s="67">
        <f>47212+46678+30692+40248+53810+49944+30092+65890</f>
        <v>364566</v>
      </c>
      <c r="E32" s="67">
        <v>65890</v>
      </c>
      <c r="G32" s="160">
        <f>SUM(C32-D32)</f>
        <v>-14566</v>
      </c>
    </row>
    <row r="33" spans="1:5" ht="21.75" customHeight="1">
      <c r="A33" s="85" t="s">
        <v>17</v>
      </c>
      <c r="B33" s="86"/>
      <c r="C33" s="72">
        <f>SUM(C32)</f>
        <v>350000</v>
      </c>
      <c r="D33" s="57">
        <f>SUM(D31:D32)</f>
        <v>364566</v>
      </c>
      <c r="E33" s="73">
        <f>SUM(E31:E32)</f>
        <v>65890</v>
      </c>
    </row>
    <row r="34" spans="1:5" ht="19.5" customHeight="1">
      <c r="A34" s="54"/>
      <c r="B34" s="87"/>
      <c r="C34" s="88"/>
      <c r="D34" s="166"/>
      <c r="E34" s="171"/>
    </row>
    <row r="35" spans="1:5" ht="19.5" customHeight="1">
      <c r="A35" s="54"/>
      <c r="B35" s="87"/>
      <c r="C35" s="88"/>
      <c r="D35" s="166"/>
      <c r="E35" s="171"/>
    </row>
    <row r="36" spans="1:5" ht="19.5" customHeight="1">
      <c r="A36" s="54"/>
      <c r="B36" s="87"/>
      <c r="C36" s="88"/>
      <c r="D36" s="166"/>
      <c r="E36" s="243" t="s">
        <v>161</v>
      </c>
    </row>
    <row r="37" spans="1:5" ht="21.75" customHeight="1">
      <c r="A37" s="58" t="s">
        <v>19</v>
      </c>
      <c r="B37" s="56" t="s">
        <v>2</v>
      </c>
      <c r="C37" s="57" t="s">
        <v>24</v>
      </c>
      <c r="D37" s="164" t="s">
        <v>72</v>
      </c>
      <c r="E37" s="58" t="s">
        <v>73</v>
      </c>
    </row>
    <row r="38" spans="1:5" ht="21.75" customHeight="1">
      <c r="A38" s="63" t="s">
        <v>82</v>
      </c>
      <c r="B38" s="60">
        <v>41500000</v>
      </c>
      <c r="C38" s="61"/>
      <c r="D38" s="166"/>
      <c r="E38" s="210" t="s">
        <v>16</v>
      </c>
    </row>
    <row r="39" spans="1:5" ht="21.75" customHeight="1">
      <c r="A39" s="65" t="s">
        <v>226</v>
      </c>
      <c r="B39" s="64" t="s">
        <v>144</v>
      </c>
      <c r="C39" s="66">
        <v>500</v>
      </c>
      <c r="D39" s="80">
        <v>0</v>
      </c>
      <c r="E39" s="80">
        <v>0</v>
      </c>
    </row>
    <row r="40" spans="1:5" ht="21.75" customHeight="1">
      <c r="A40" s="65" t="s">
        <v>224</v>
      </c>
      <c r="B40" s="64" t="s">
        <v>183</v>
      </c>
      <c r="C40" s="66">
        <v>32000</v>
      </c>
      <c r="D40" s="166">
        <v>0</v>
      </c>
      <c r="E40" s="80">
        <v>0</v>
      </c>
    </row>
    <row r="41" spans="1:5" ht="21.75" customHeight="1">
      <c r="A41" s="65" t="s">
        <v>225</v>
      </c>
      <c r="B41" s="64" t="s">
        <v>143</v>
      </c>
      <c r="C41" s="66">
        <v>12000</v>
      </c>
      <c r="D41" s="166">
        <f>3022.5+2500</f>
        <v>5522.5</v>
      </c>
      <c r="E41" s="80">
        <v>2500</v>
      </c>
    </row>
    <row r="42" spans="1:5" ht="21.75" customHeight="1">
      <c r="A42" s="65" t="s">
        <v>189</v>
      </c>
      <c r="B42" s="64" t="s">
        <v>143</v>
      </c>
      <c r="C42" s="66"/>
      <c r="D42" s="166">
        <f>700+2450</f>
        <v>3150</v>
      </c>
      <c r="E42" s="80">
        <v>2450</v>
      </c>
    </row>
    <row r="43" spans="1:5" ht="21.75" customHeight="1">
      <c r="A43" s="70" t="s">
        <v>17</v>
      </c>
      <c r="B43" s="81"/>
      <c r="C43" s="72">
        <f>SUM(C39:C41)</f>
        <v>44500</v>
      </c>
      <c r="D43" s="167">
        <f>SUM(D40:D42)</f>
        <v>8672.5</v>
      </c>
      <c r="E43" s="73">
        <f>SUM(E40:E42)</f>
        <v>4950</v>
      </c>
    </row>
    <row r="44" spans="1:5" ht="21.75" customHeight="1">
      <c r="A44" s="63" t="s">
        <v>104</v>
      </c>
      <c r="B44" s="60">
        <v>41600000</v>
      </c>
      <c r="C44" s="61"/>
      <c r="D44" s="166"/>
      <c r="E44" s="210" t="s">
        <v>16</v>
      </c>
    </row>
    <row r="45" spans="1:7" ht="21.75" customHeight="1">
      <c r="A45" s="65" t="s">
        <v>105</v>
      </c>
      <c r="B45" s="64" t="s">
        <v>184</v>
      </c>
      <c r="C45" s="66">
        <v>3500</v>
      </c>
      <c r="D45" s="166">
        <v>0</v>
      </c>
      <c r="E45" s="80">
        <v>0</v>
      </c>
      <c r="G45" s="160">
        <f>SUM(C45-D45)</f>
        <v>3500</v>
      </c>
    </row>
    <row r="46" spans="1:5" ht="21.75" customHeight="1">
      <c r="A46" s="70" t="s">
        <v>17</v>
      </c>
      <c r="B46" s="81"/>
      <c r="C46" s="72">
        <f>SUM(C45:C45)</f>
        <v>3500</v>
      </c>
      <c r="D46" s="167">
        <f>SUM(D45:D45)</f>
        <v>0</v>
      </c>
      <c r="E46" s="73">
        <f>SUM(E45:E45)</f>
        <v>0</v>
      </c>
    </row>
    <row r="47" spans="1:5" ht="21.75" customHeight="1">
      <c r="A47" s="89" t="s">
        <v>83</v>
      </c>
      <c r="B47" s="87"/>
      <c r="C47" s="61"/>
      <c r="D47" s="73">
        <f>SUM(D12+D26+D30+D33+D43+D46)</f>
        <v>2647256.5999999996</v>
      </c>
      <c r="E47" s="73">
        <f>SUM(E12+E26+E30+E33+E43+E46)</f>
        <v>308102.49</v>
      </c>
    </row>
    <row r="48" spans="1:5" ht="21.75" customHeight="1">
      <c r="A48" s="90" t="s">
        <v>191</v>
      </c>
      <c r="B48" s="60">
        <v>42000000</v>
      </c>
      <c r="C48" s="66"/>
      <c r="D48" s="79"/>
      <c r="E48" s="65"/>
    </row>
    <row r="49" spans="1:5" ht="21.75" customHeight="1">
      <c r="A49" s="63" t="s">
        <v>95</v>
      </c>
      <c r="B49" s="60">
        <v>42100000</v>
      </c>
      <c r="C49" s="91"/>
      <c r="D49" s="169"/>
      <c r="E49" s="141"/>
    </row>
    <row r="50" spans="1:7" ht="21.75" customHeight="1">
      <c r="A50" s="83" t="s">
        <v>84</v>
      </c>
      <c r="B50" s="60">
        <v>42100001</v>
      </c>
      <c r="C50" s="92">
        <v>370000</v>
      </c>
      <c r="D50" s="80">
        <f>65120.69+39652.87+26816.3+37407.24+31034.28+34147.09+39361.15+28848.43</f>
        <v>302388.05</v>
      </c>
      <c r="E50" s="142">
        <v>28848.43</v>
      </c>
      <c r="G50" s="212"/>
    </row>
    <row r="51" spans="1:7" ht="21.75" customHeight="1">
      <c r="A51" s="65" t="s">
        <v>227</v>
      </c>
      <c r="B51" s="60">
        <v>42100002</v>
      </c>
      <c r="C51" s="84">
        <v>6000000</v>
      </c>
      <c r="D51" s="80">
        <f>571700.25+703743.62+723407.92+685523.49+614768.73+588033.57+755351.29+626710.96+665283.6</f>
        <v>5934523.43</v>
      </c>
      <c r="E51" s="142">
        <v>665283.6</v>
      </c>
      <c r="G51" s="212"/>
    </row>
    <row r="52" spans="1:7" ht="21.75" customHeight="1">
      <c r="A52" s="65" t="s">
        <v>155</v>
      </c>
      <c r="B52" s="60">
        <v>42100004</v>
      </c>
      <c r="C52" s="84">
        <v>1500000</v>
      </c>
      <c r="D52" s="67">
        <f>143172.3+105806+181438.77+126951.04+182831.62+123534.4+180405.21+205315+145661.48</f>
        <v>1395115.8199999998</v>
      </c>
      <c r="E52" s="142">
        <v>145661.48</v>
      </c>
      <c r="G52" s="212"/>
    </row>
    <row r="53" spans="1:7" ht="21.75" customHeight="1">
      <c r="A53" s="65" t="s">
        <v>85</v>
      </c>
      <c r="B53" s="60">
        <v>42100005</v>
      </c>
      <c r="C53" s="84">
        <v>50000</v>
      </c>
      <c r="D53" s="80">
        <f>15625.41+32238.9</f>
        <v>47864.31</v>
      </c>
      <c r="E53" s="142">
        <v>0</v>
      </c>
      <c r="G53" s="212"/>
    </row>
    <row r="54" spans="1:7" ht="21.75" customHeight="1">
      <c r="A54" s="65" t="s">
        <v>86</v>
      </c>
      <c r="B54" s="60">
        <v>42100006</v>
      </c>
      <c r="C54" s="84">
        <v>800000</v>
      </c>
      <c r="D54" s="67">
        <v>0</v>
      </c>
      <c r="E54" s="143">
        <v>0</v>
      </c>
      <c r="G54" s="212"/>
    </row>
    <row r="55" spans="1:7" ht="21.75" customHeight="1">
      <c r="A55" s="65" t="s">
        <v>87</v>
      </c>
      <c r="B55" s="60">
        <v>42100007</v>
      </c>
      <c r="C55" s="84">
        <v>1900000</v>
      </c>
      <c r="D55" s="67">
        <f>260791.43+254933.9+224143.59+310397.64+318773.25+321837.87+317007.6+332293.36+324007.47</f>
        <v>2664186.1100000003</v>
      </c>
      <c r="E55" s="143">
        <v>324007.47</v>
      </c>
      <c r="G55" s="212"/>
    </row>
    <row r="56" spans="1:7" ht="21.75" customHeight="1">
      <c r="A56" s="65" t="s">
        <v>106</v>
      </c>
      <c r="B56" s="60">
        <v>42100012</v>
      </c>
      <c r="C56" s="84">
        <v>66000</v>
      </c>
      <c r="D56" s="75">
        <f>23058.58+21758.15</f>
        <v>44816.73</v>
      </c>
      <c r="E56" s="144">
        <v>0</v>
      </c>
      <c r="G56" s="212"/>
    </row>
    <row r="57" spans="1:7" ht="21.75" customHeight="1">
      <c r="A57" s="65" t="s">
        <v>109</v>
      </c>
      <c r="B57" s="60">
        <v>42100013</v>
      </c>
      <c r="C57" s="84">
        <v>30000</v>
      </c>
      <c r="D57" s="75">
        <f>6100.11+6051.96+63788.11</f>
        <v>75940.18</v>
      </c>
      <c r="E57" s="144">
        <v>0</v>
      </c>
      <c r="G57" s="212"/>
    </row>
    <row r="58" spans="1:7" ht="21.75" customHeight="1">
      <c r="A58" s="208" t="s">
        <v>156</v>
      </c>
      <c r="B58" s="60">
        <v>42100015</v>
      </c>
      <c r="C58" s="66">
        <v>760000</v>
      </c>
      <c r="D58" s="75">
        <f>80335+53645+75332+72075+62274+49416+71306+95211+80771</f>
        <v>640365</v>
      </c>
      <c r="E58" s="144">
        <v>80771</v>
      </c>
      <c r="G58" s="212"/>
    </row>
    <row r="59" spans="1:7" ht="21.75" customHeight="1">
      <c r="A59" s="65" t="s">
        <v>243</v>
      </c>
      <c r="B59" s="60">
        <v>42199999</v>
      </c>
      <c r="C59" s="93">
        <v>1000</v>
      </c>
      <c r="D59" s="145">
        <v>0</v>
      </c>
      <c r="E59" s="145">
        <v>0</v>
      </c>
      <c r="G59" s="212"/>
    </row>
    <row r="60" spans="1:7" ht="21.75" customHeight="1">
      <c r="A60" s="70" t="s">
        <v>17</v>
      </c>
      <c r="B60" s="81"/>
      <c r="C60" s="229">
        <f>SUM(C50:C59)</f>
        <v>11477000</v>
      </c>
      <c r="D60" s="245">
        <f>SUM(D50:D59)</f>
        <v>11105199.629999999</v>
      </c>
      <c r="E60" s="73">
        <f>SUM(E50:E59)</f>
        <v>1244571.98</v>
      </c>
      <c r="G60" s="199"/>
    </row>
    <row r="61" spans="1:5" ht="21.75" customHeight="1">
      <c r="A61" s="89" t="s">
        <v>88</v>
      </c>
      <c r="B61" s="87"/>
      <c r="C61" s="230"/>
      <c r="D61" s="73">
        <f>SUM(D47+D60)</f>
        <v>13752456.229999999</v>
      </c>
      <c r="E61" s="73">
        <f>SUM(E47+E60)</f>
        <v>1552674.47</v>
      </c>
    </row>
    <row r="62" spans="1:5" ht="21.75" customHeight="1">
      <c r="A62" s="90" t="s">
        <v>185</v>
      </c>
      <c r="B62" s="60">
        <v>43000000</v>
      </c>
      <c r="C62" s="231"/>
      <c r="D62" s="79"/>
      <c r="E62" s="65"/>
    </row>
    <row r="63" spans="1:5" ht="21.75" customHeight="1">
      <c r="A63" s="63" t="s">
        <v>101</v>
      </c>
      <c r="B63" s="60">
        <v>43100000</v>
      </c>
      <c r="C63" s="230">
        <v>15460000</v>
      </c>
      <c r="D63" s="79"/>
      <c r="E63" s="65"/>
    </row>
    <row r="64" spans="1:5" ht="21.75" customHeight="1">
      <c r="A64" s="65" t="s">
        <v>244</v>
      </c>
      <c r="B64" s="60">
        <v>43100000</v>
      </c>
      <c r="C64" s="61"/>
      <c r="D64" s="166"/>
      <c r="E64" s="80"/>
    </row>
    <row r="65" spans="1:5" ht="21.75" customHeight="1">
      <c r="A65" s="65" t="s">
        <v>259</v>
      </c>
      <c r="B65" s="60">
        <v>43100000</v>
      </c>
      <c r="C65" s="66"/>
      <c r="D65" s="67">
        <f>1294200+1294200+1294200</f>
        <v>3882600</v>
      </c>
      <c r="E65" s="67">
        <v>0</v>
      </c>
    </row>
    <row r="66" spans="1:5" ht="21.75" customHeight="1">
      <c r="A66" s="65" t="s">
        <v>260</v>
      </c>
      <c r="B66" s="60">
        <v>43100000</v>
      </c>
      <c r="C66" s="66"/>
      <c r="D66" s="67">
        <f>247200+247200+247200</f>
        <v>741600</v>
      </c>
      <c r="E66" s="67">
        <v>0</v>
      </c>
    </row>
    <row r="67" spans="1:7" ht="21.75" customHeight="1">
      <c r="A67" s="65" t="s">
        <v>261</v>
      </c>
      <c r="B67" s="60">
        <v>43100000</v>
      </c>
      <c r="C67" s="66"/>
      <c r="D67" s="67">
        <f>3000+3000+3000</f>
        <v>9000</v>
      </c>
      <c r="E67" s="67">
        <v>0</v>
      </c>
      <c r="G67" s="199"/>
    </row>
    <row r="68" spans="1:7" ht="21.75" customHeight="1">
      <c r="A68" s="81" t="s">
        <v>269</v>
      </c>
      <c r="B68" s="60">
        <v>43100000</v>
      </c>
      <c r="C68" s="66"/>
      <c r="D68" s="67">
        <f>487020+528420+522270+486090</f>
        <v>2023800</v>
      </c>
      <c r="E68" s="67">
        <v>486090</v>
      </c>
      <c r="G68" s="199"/>
    </row>
    <row r="69" spans="1:5" ht="21.75" customHeight="1">
      <c r="A69" s="65" t="s">
        <v>238</v>
      </c>
      <c r="B69" s="60">
        <v>43100000</v>
      </c>
      <c r="C69" s="66"/>
      <c r="D69" s="67">
        <v>316200</v>
      </c>
      <c r="E69" s="67">
        <v>0</v>
      </c>
    </row>
    <row r="70" spans="1:7" s="197" customFormat="1" ht="21.75" customHeight="1">
      <c r="A70" s="202" t="s">
        <v>265</v>
      </c>
      <c r="B70" s="71">
        <v>43100000</v>
      </c>
      <c r="C70" s="66"/>
      <c r="D70" s="67">
        <f>241800+228200+225600</f>
        <v>695600</v>
      </c>
      <c r="E70" s="67">
        <v>0</v>
      </c>
      <c r="G70" s="213" t="s">
        <v>237</v>
      </c>
    </row>
    <row r="71" spans="1:7" ht="21.75" customHeight="1">
      <c r="A71" s="203" t="s">
        <v>264</v>
      </c>
      <c r="B71" s="102">
        <v>43100000</v>
      </c>
      <c r="C71" s="103"/>
      <c r="D71" s="163">
        <f>306000+342000+324000</f>
        <v>972000</v>
      </c>
      <c r="E71" s="232">
        <v>0</v>
      </c>
      <c r="F71" s="96"/>
      <c r="G71" s="214" t="s">
        <v>236</v>
      </c>
    </row>
    <row r="72" spans="1:6" ht="21.75" customHeight="1">
      <c r="A72" s="94"/>
      <c r="B72" s="95"/>
      <c r="C72" s="79"/>
      <c r="D72" s="170"/>
      <c r="E72" s="244" t="s">
        <v>162</v>
      </c>
      <c r="F72" s="197"/>
    </row>
    <row r="73" spans="1:5" ht="21.75" customHeight="1">
      <c r="A73" s="58" t="s">
        <v>19</v>
      </c>
      <c r="B73" s="56" t="s">
        <v>2</v>
      </c>
      <c r="C73" s="57" t="s">
        <v>24</v>
      </c>
      <c r="D73" s="164" t="s">
        <v>72</v>
      </c>
      <c r="E73" s="58" t="s">
        <v>73</v>
      </c>
    </row>
    <row r="74" spans="1:5" ht="21.75" customHeight="1">
      <c r="A74" s="63" t="s">
        <v>101</v>
      </c>
      <c r="B74" s="87"/>
      <c r="C74" s="84"/>
      <c r="D74" s="67"/>
      <c r="E74" s="143"/>
    </row>
    <row r="75" spans="1:5" ht="21.75" customHeight="1">
      <c r="A75" s="202" t="s">
        <v>262</v>
      </c>
      <c r="B75" s="60">
        <v>43100000</v>
      </c>
      <c r="C75" s="84"/>
      <c r="D75" s="67">
        <f>89104+91019+90061</f>
        <v>270184</v>
      </c>
      <c r="E75" s="143">
        <v>0</v>
      </c>
    </row>
    <row r="76" spans="1:5" ht="21.75" customHeight="1">
      <c r="A76" s="233" t="s">
        <v>263</v>
      </c>
      <c r="B76" s="60">
        <v>43100000</v>
      </c>
      <c r="C76" s="84"/>
      <c r="D76" s="67">
        <f>146589+163835+155212</f>
        <v>465636</v>
      </c>
      <c r="E76" s="143">
        <v>0</v>
      </c>
    </row>
    <row r="77" spans="1:5" ht="21.75" customHeight="1">
      <c r="A77" s="65" t="s">
        <v>194</v>
      </c>
      <c r="B77" s="60">
        <v>43100000</v>
      </c>
      <c r="C77" s="84"/>
      <c r="D77" s="67">
        <v>0</v>
      </c>
      <c r="E77" s="143">
        <v>0</v>
      </c>
    </row>
    <row r="78" spans="1:6" ht="21.75" customHeight="1">
      <c r="A78" s="198" t="s">
        <v>241</v>
      </c>
      <c r="B78" s="60">
        <v>43100002</v>
      </c>
      <c r="C78" s="84"/>
      <c r="D78" s="67">
        <v>240000</v>
      </c>
      <c r="E78" s="143">
        <v>0</v>
      </c>
      <c r="F78" s="149"/>
    </row>
    <row r="79" spans="1:8" ht="21.75" customHeight="1">
      <c r="A79" s="234" t="s">
        <v>245</v>
      </c>
      <c r="B79" s="60"/>
      <c r="C79" s="84"/>
      <c r="D79" s="67">
        <f>5430+5400+13410</f>
        <v>24240</v>
      </c>
      <c r="E79" s="143">
        <v>13410</v>
      </c>
      <c r="F79" s="197"/>
      <c r="G79" s="213" t="s">
        <v>257</v>
      </c>
      <c r="H79" s="197"/>
    </row>
    <row r="80" spans="1:7" ht="21.75" customHeight="1">
      <c r="A80" s="234" t="s">
        <v>246</v>
      </c>
      <c r="B80" s="60"/>
      <c r="C80" s="84"/>
      <c r="D80" s="67">
        <f>543+540+1341</f>
        <v>2424</v>
      </c>
      <c r="E80" s="143">
        <v>1341</v>
      </c>
      <c r="F80" s="96"/>
      <c r="G80" s="213" t="s">
        <v>257</v>
      </c>
    </row>
    <row r="81" spans="1:5" ht="21.75" customHeight="1">
      <c r="A81" s="65" t="s">
        <v>247</v>
      </c>
      <c r="B81" s="60">
        <v>43100002</v>
      </c>
      <c r="C81" s="61"/>
      <c r="D81" s="66">
        <f>1374808+1374808</f>
        <v>2749616</v>
      </c>
      <c r="E81" s="143">
        <v>0</v>
      </c>
    </row>
    <row r="82" spans="1:5" ht="21.75" customHeight="1">
      <c r="A82" s="65" t="s">
        <v>240</v>
      </c>
      <c r="B82" s="60"/>
      <c r="C82" s="61"/>
      <c r="D82" s="93"/>
      <c r="E82" s="163"/>
    </row>
    <row r="83" spans="1:5" ht="21.75" customHeight="1" thickBot="1">
      <c r="A83" s="89" t="s">
        <v>102</v>
      </c>
      <c r="B83" s="87"/>
      <c r="C83" s="229">
        <f>SUM(C63)</f>
        <v>15460000</v>
      </c>
      <c r="D83" s="228">
        <f>SUM(D64:D81)</f>
        <v>12392900</v>
      </c>
      <c r="E83" s="146">
        <f>SUM(E64:E81)</f>
        <v>500841</v>
      </c>
    </row>
    <row r="84" spans="1:5" ht="21.75" customHeight="1">
      <c r="A84" s="97" t="s">
        <v>89</v>
      </c>
      <c r="B84" s="87"/>
      <c r="C84" s="229">
        <f>SUM(C12+C26+C30+C33+C43+C46+C60+C63)</f>
        <v>30742510</v>
      </c>
      <c r="D84" s="98">
        <f>SUM(D61+D83)</f>
        <v>26145356.229999997</v>
      </c>
      <c r="E84" s="98">
        <f>SUM(E61+E83)</f>
        <v>2053515.47</v>
      </c>
    </row>
    <row r="85" spans="1:5" ht="21.75" customHeight="1">
      <c r="A85" s="219" t="s">
        <v>249</v>
      </c>
      <c r="B85" s="87"/>
      <c r="C85" s="61"/>
      <c r="D85" s="220"/>
      <c r="E85" s="221"/>
    </row>
    <row r="86" spans="1:5" ht="21.75" customHeight="1">
      <c r="A86" s="63" t="s">
        <v>116</v>
      </c>
      <c r="B86" s="60">
        <v>44100000</v>
      </c>
      <c r="C86" s="61"/>
      <c r="D86" s="166"/>
      <c r="E86" s="80"/>
    </row>
    <row r="87" spans="1:5" ht="21.75" customHeight="1">
      <c r="A87" s="65" t="s">
        <v>250</v>
      </c>
      <c r="B87" s="60"/>
      <c r="C87" s="66"/>
      <c r="D87" s="166"/>
      <c r="E87" s="80"/>
    </row>
    <row r="88" spans="1:5" ht="21.75" customHeight="1">
      <c r="A88" s="81" t="s">
        <v>228</v>
      </c>
      <c r="B88" s="60">
        <v>44100001</v>
      </c>
      <c r="C88" s="61"/>
      <c r="D88" s="166">
        <f>1495000</f>
        <v>1495000</v>
      </c>
      <c r="E88" s="80">
        <v>0</v>
      </c>
    </row>
    <row r="89" spans="1:5" ht="21.75" customHeight="1">
      <c r="A89" s="202" t="s">
        <v>252</v>
      </c>
      <c r="B89" s="60">
        <v>44100002</v>
      </c>
      <c r="C89" s="61"/>
      <c r="D89" s="166">
        <v>498000</v>
      </c>
      <c r="E89" s="80">
        <v>0</v>
      </c>
    </row>
    <row r="90" spans="1:5" ht="21.75" customHeight="1">
      <c r="A90" s="81" t="s">
        <v>251</v>
      </c>
      <c r="B90" s="60">
        <v>44100003</v>
      </c>
      <c r="C90" s="61"/>
      <c r="D90" s="166">
        <v>158000</v>
      </c>
      <c r="E90" s="80">
        <v>0</v>
      </c>
    </row>
    <row r="91" spans="1:5" ht="21.75" customHeight="1">
      <c r="A91" s="70" t="s">
        <v>17</v>
      </c>
      <c r="B91" s="81"/>
      <c r="C91" s="223"/>
      <c r="D91" s="73">
        <f>SUM(D88:D90)</f>
        <v>2151000</v>
      </c>
      <c r="E91" s="73">
        <f>SUM(E88:E90)</f>
        <v>0</v>
      </c>
    </row>
    <row r="92" spans="1:7" ht="21.75" customHeight="1">
      <c r="A92" s="89" t="s">
        <v>90</v>
      </c>
      <c r="B92" s="99"/>
      <c r="C92" s="222"/>
      <c r="D92" s="73">
        <f>SUM(D88:D90)</f>
        <v>2151000</v>
      </c>
      <c r="E92" s="218"/>
      <c r="G92" s="199"/>
    </row>
    <row r="93" spans="1:5" ht="17.25" customHeight="1">
      <c r="A93" s="100"/>
      <c r="B93" s="101"/>
      <c r="C93" s="88"/>
      <c r="D93" s="171"/>
      <c r="E93" s="171"/>
    </row>
    <row r="94" spans="1:5" ht="18" customHeight="1">
      <c r="A94" s="100"/>
      <c r="B94" s="101"/>
      <c r="C94" s="88"/>
      <c r="D94" s="171"/>
      <c r="E94" s="171"/>
    </row>
    <row r="95" spans="1:5" ht="19.5" customHeight="1">
      <c r="A95" s="162"/>
      <c r="B95" s="216"/>
      <c r="D95" s="172"/>
      <c r="E95" s="211"/>
    </row>
    <row r="96" spans="1:2" ht="19.5" customHeight="1">
      <c r="A96" s="162"/>
      <c r="B96" s="216"/>
    </row>
    <row r="97" spans="1:2" ht="19.5" customHeight="1">
      <c r="A97" s="162"/>
      <c r="B97" s="162"/>
    </row>
    <row r="98" spans="1:2" ht="19.5" customHeight="1">
      <c r="A98" s="162"/>
      <c r="B98" s="216"/>
    </row>
    <row r="99" spans="1:2" ht="19.5" customHeight="1">
      <c r="A99" s="162"/>
      <c r="B99" s="216"/>
    </row>
    <row r="100" spans="1:2" ht="19.5" customHeight="1">
      <c r="A100" s="217"/>
      <c r="B100" s="197"/>
    </row>
  </sheetData>
  <sheetProtection/>
  <mergeCells count="4">
    <mergeCell ref="A1:E1"/>
    <mergeCell ref="A2:E2"/>
    <mergeCell ref="A3:E3"/>
    <mergeCell ref="A4:E4"/>
  </mergeCells>
  <printOptions/>
  <pageMargins left="0.22" right="0.11" top="0.4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2018-07-06T04:40:45Z</cp:lastPrinted>
  <dcterms:created xsi:type="dcterms:W3CDTF">2013-06-07T04:08:05Z</dcterms:created>
  <dcterms:modified xsi:type="dcterms:W3CDTF">2018-07-09T03:42:25Z</dcterms:modified>
  <cp:category/>
  <cp:version/>
  <cp:contentType/>
  <cp:contentStatus/>
</cp:coreProperties>
</file>