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7050" tabRatio="598" firstSheet="2" activeTab="3"/>
  </bookViews>
  <sheets>
    <sheet name="รับจ่ายเงินจริง" sheetId="1" r:id="rId1"/>
    <sheet name="กระทบยอดเงินฝากธนาคาร" sheetId="2" r:id="rId2"/>
    <sheet name="งบทดลอง" sheetId="3" r:id="rId3"/>
    <sheet name="หมายเหตุ 1 รายงานรับ-จ่ายเงินสด" sheetId="4" r:id="rId4"/>
  </sheets>
  <definedNames/>
  <calcPr fullCalcOnLoad="1"/>
</workbook>
</file>

<file path=xl/sharedStrings.xml><?xml version="1.0" encoding="utf-8"?>
<sst xmlns="http://schemas.openxmlformats.org/spreadsheetml/2006/main" count="613" uniqueCount="342">
  <si>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</si>
  <si>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</si>
  <si>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</si>
  <si>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</si>
  <si>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</si>
  <si>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</si>
  <si>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</si>
  <si>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</si>
  <si>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</si>
  <si>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</si>
  <si>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</si>
  <si>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</si>
  <si>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</si>
  <si>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</si>
  <si>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</si>
  <si>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</si>
  <si>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</si>
  <si>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</si>
  <si>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</si>
  <si>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</si>
  <si>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</si>
  <si>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</si>
  <si>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</si>
  <si>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</si>
  <si>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</si>
  <si>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</si>
  <si>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</si>
  <si>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</si>
  <si>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</si>
  <si>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</si>
  <si>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</si>
  <si>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</si>
  <si>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</si>
  <si>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</si>
  <si>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</si>
  <si>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</si>
  <si>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</si>
  <si>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</si>
  <si>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</si>
  <si>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</si>
  <si>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</si>
  <si>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</si>
  <si>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</si>
  <si>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</si>
  <si>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</si>
  <si>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</si>
  <si>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</si>
  <si>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</si>
  <si>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</si>
  <si>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</si>
  <si>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</si>
  <si>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</si>
  <si>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</si>
  <si>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</si>
  <si>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</si>
  <si>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</si>
  <si>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</si>
  <si>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</si>
  <si>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</si>
  <si>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</si>
  <si>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</si>
  <si>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</si>
  <si>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</si>
  <si>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</si>
  <si>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</si>
  <si>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</si>
  <si>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</si>
  <si>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</si>
  <si>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</si>
  <si>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</si>
  <si>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</si>
  <si>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</si>
  <si>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</si>
  <si>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</si>
  <si>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</si>
  <si>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</si>
  <si>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</si>
  <si>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</si>
  <si>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</si>
  <si>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</si>
  <si>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</si>
  <si>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ธนาคาร กรุงไทย.สาขาฉวาง</t>
  </si>
  <si>
    <t>ธนาคาร ธกส.สาขาฉวาง</t>
  </si>
  <si>
    <t>หัก : เงินฝากระหว่างทาง</t>
  </si>
  <si>
    <t>วันที่ลงบัญชี</t>
  </si>
  <si>
    <t>วันที่ฝากธนาคาร</t>
  </si>
  <si>
    <t>จำนวนเงิน</t>
  </si>
  <si>
    <t>ดอกเบี้ยธนาคาร</t>
  </si>
  <si>
    <t>บริษัท ทีโอที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</si>
  <si>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</si>
  <si>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</si>
  <si>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</si>
  <si>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รายละเอียด</t>
  </si>
  <si>
    <t xml:space="preserve">หัก : เงินฝากระหว่างทาง </t>
  </si>
  <si>
    <t>จำนวน</t>
  </si>
  <si>
    <t xml:space="preserve">หัก : รายการกระทบยอดอื่นๆ </t>
  </si>
  <si>
    <t>ผู้จัดทำ</t>
  </si>
  <si>
    <t>ผู้ตรวจสอบ</t>
  </si>
  <si>
    <t>เงินสะสม</t>
  </si>
  <si>
    <t>เงินทุนสำรองเงินสะสม</t>
  </si>
  <si>
    <t>เลขบัญชี 814-0-00415-4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</si>
  <si>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</si>
  <si>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</si>
  <si>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</si>
  <si>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>เงินฝาก ก.ส.ท.</t>
  </si>
  <si>
    <t>หมวดเงินอุดหนุนทั่วไป</t>
  </si>
  <si>
    <t>รวมเงินอุดหนุนทั่วไป</t>
  </si>
  <si>
    <t>งบกระทบยอดเงินฝากธนาคาร</t>
  </si>
  <si>
    <t>เลขบัญชี 01-890-2-44353-8</t>
  </si>
  <si>
    <t>เลขบัญชี 01-890-2-46698-0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</si>
  <si>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</si>
  <si>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</si>
  <si>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</si>
  <si>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</si>
  <si>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</si>
  <si>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</si>
  <si>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(นายสง่าชัย  หนูเนียม)</t>
  </si>
  <si>
    <t>8) ค่าภาคหลวงปิโตรเลียม</t>
  </si>
  <si>
    <t>รับคืนเงินค่าลงทะเบียน</t>
  </si>
  <si>
    <t>ผู้อำนวยการกองคลัง</t>
  </si>
  <si>
    <t>ปลัดเทศบาลตำบล  รักษาราชการแทน</t>
  </si>
  <si>
    <t>เฉพาะกิจ(บาท)</t>
  </si>
  <si>
    <t>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</si>
  <si>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</si>
  <si>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</si>
  <si>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</si>
  <si>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</si>
  <si>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</si>
  <si>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</si>
  <si>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</si>
  <si>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</si>
  <si>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</si>
  <si>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</si>
  <si>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</si>
  <si>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</si>
  <si>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</si>
  <si>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</si>
  <si>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</si>
  <si>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</si>
  <si>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</si>
  <si>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</si>
  <si>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</si>
  <si>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</si>
  <si>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</si>
  <si>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</si>
  <si>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</si>
  <si>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</si>
  <si>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</si>
  <si>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</si>
  <si>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</si>
  <si>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</si>
  <si>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</si>
  <si>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</si>
  <si>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</si>
  <si>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</si>
  <si>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</si>
  <si>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</si>
  <si>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</si>
  <si>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</si>
  <si>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</si>
  <si>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</si>
  <si>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</si>
  <si>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</si>
  <si>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</si>
  <si>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เช็คฝากระหว่างทาง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</si>
  <si>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</si>
  <si>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</si>
  <si>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(นางจุฑามาศ  สุขลี่)</t>
  </si>
  <si>
    <t>หน้าที่ 2</t>
  </si>
  <si>
    <t>หน้าที่ 3</t>
  </si>
  <si>
    <t>หน้าที่ 4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</si>
  <si>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</si>
  <si>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</si>
  <si>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</si>
  <si>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</si>
  <si>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</si>
  <si>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</si>
  <si>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</si>
  <si>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</si>
  <si>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</si>
  <si>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</si>
  <si>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</si>
  <si>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</si>
  <si>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</si>
  <si>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</si>
  <si>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</si>
  <si>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</si>
  <si>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</si>
  <si>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</si>
  <si>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</si>
  <si>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</si>
  <si>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</si>
  <si>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</si>
  <si>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</si>
  <si>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</si>
  <si>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</si>
  <si>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</si>
  <si>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</si>
  <si>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</si>
  <si>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ดอกเบี้ยเงินฝากธนาคาร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</si>
  <si>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</si>
  <si>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</si>
  <si>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</si>
  <si>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</si>
  <si>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</si>
  <si>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</si>
  <si>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</si>
  <si>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</si>
  <si>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</si>
  <si>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</si>
  <si>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</si>
  <si>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</si>
  <si>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</si>
  <si>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</si>
  <si>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</si>
  <si>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</si>
  <si>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</si>
  <si>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</si>
  <si>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</si>
  <si>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</si>
  <si>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</si>
  <si>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</si>
  <si>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</si>
  <si>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</si>
  <si>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</si>
  <si>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</si>
  <si>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</si>
  <si>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</si>
  <si>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</si>
  <si>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</si>
  <si>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</si>
  <si>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</si>
  <si>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</si>
  <si>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</si>
  <si>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</si>
  <si>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</si>
  <si>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</si>
  <si>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</si>
  <si>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</si>
  <si>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</si>
  <si>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</si>
  <si>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</si>
  <si>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 xml:space="preserve">     และภารกิจถ่ายโอนเลือกทำ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</si>
  <si>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</si>
  <si>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</si>
  <si>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</si>
  <si>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</si>
  <si>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</si>
  <si>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</si>
  <si>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</si>
  <si>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ลูกหนี้รายได้อื่น ๆ - ค่าน้ำประปา</t>
  </si>
  <si>
    <t>ธนาคาร กรุงไทย สาขาฉวาง</t>
  </si>
  <si>
    <t>เลขบัญชี 814-0-35095-8</t>
  </si>
  <si>
    <t>งบกลาง (เบี้ยยังชีพผู้สูงอายุ)</t>
  </si>
  <si>
    <t>เงินฝากธนาคาร กรุงไทย (ออมทรัพย์) เลขที่ 814-0-35095-8</t>
  </si>
  <si>
    <t xml:space="preserve">บวก : เงินฝากระหว่างทาง </t>
  </si>
  <si>
    <t>(ลงชื่อ)…………………………………………</t>
  </si>
  <si>
    <t xml:space="preserve"> นักวิชาการเงินและบัญชีชำนาญการ</t>
  </si>
  <si>
    <t>(ลงชื่อ)…………………………………….</t>
  </si>
  <si>
    <t>44100001</t>
  </si>
  <si>
    <t>19000+383</t>
  </si>
  <si>
    <t>ส่งใช้พี่เป้า</t>
  </si>
  <si>
    <t>ส่งคืน 19000+ภาษี ณ ที่จ่าย กองทุนสิ่งแวดล้อม</t>
  </si>
  <si>
    <t>19383+5364</t>
  </si>
  <si>
    <t>1. โครงการก่อสร้างถนนแอสฟัลท์คอนกรีตผสมยางพารา สายศาลาแดง หมู่ที่ 8</t>
  </si>
  <si>
    <t>2. โครงการก่อสร้างระบบประปาหมู่บ้านแบบบาดาล ขนาดความจุ 30 ลบ.ม. หมู่ที่ 7</t>
  </si>
  <si>
    <t>3. โครงการพัฒนาลุ่มแม่น้ำตาปีและก่อสร้างอาคารอเนกประสงค์และปรับปรุงภูมิทัศน์</t>
  </si>
  <si>
    <t>5. โครงการก่อสร้างถังเก็บน้ำประปาบาดาล ขนาด 12  ลบ.ม. บ้านโคกแม่คาด 1  หมู่ที่ 8</t>
  </si>
  <si>
    <t>6. โครงการก่อสร้างระบบประปาหมู่บ้าน แบบหอถังสูง ความจุ 30 ลบ.ม. รูปทรงถ้วยแชมเปญ</t>
  </si>
  <si>
    <t xml:space="preserve">4. โครงการก่อสร้างระบบประปาหมู่บ้าน แบบบาดาลความจุ 30 ลบ.ม  หมู่ที่ 8 </t>
  </si>
  <si>
    <t>รายได้จากรัฐบาลค้างรับ</t>
  </si>
  <si>
    <t>ปีงบประมาณ 2562</t>
  </si>
  <si>
    <t>ค้างจ่ายปี 61</t>
  </si>
  <si>
    <t>ค่าปรับหน้าฎีกา</t>
  </si>
  <si>
    <t>19030000</t>
  </si>
  <si>
    <t>งบกลาง (เงินสมทบกองทุนเงินทดแทน)</t>
  </si>
  <si>
    <t>บวก/หัก : รายการกระทบยอดอื่น ๆ</t>
  </si>
  <si>
    <t>หน้าฎีกา</t>
  </si>
  <si>
    <t>เขียนเช็คสั่งจ่าย</t>
  </si>
  <si>
    <t>หัก</t>
  </si>
  <si>
    <t>งวดที่ 2</t>
  </si>
  <si>
    <t>ปี 2562</t>
  </si>
  <si>
    <t>13) เงินอุดหนุน - โครงการสัตว์ปลอดโรคคนปลอดภัยฯ (เพื่อขับเคลื่อน)</t>
  </si>
  <si>
    <t>14) เงินอุดหนุน - โครงการสัตว์ปลอดโรคคนปลอดภัยฯ (สำรวจข้อมูล)</t>
  </si>
  <si>
    <t>6) เงินอุดหนุน - ค่าจัดการเรียนการสอน (ตค.-ธค.61)</t>
  </si>
  <si>
    <t>รวมเงินอุดหนุนเฉพาะกิจ (รายจ่ายค้างจ่าย ปี 61)</t>
  </si>
  <si>
    <t>1. โครงการพัฒนาคุณภาพการศึกษาด้วยเทคโนโลยีสารสนเทศ DLTV ประจำปีงบประมาณ 2562</t>
  </si>
  <si>
    <t>เงินเกินบัญชี</t>
  </si>
  <si>
    <t>21061000</t>
  </si>
  <si>
    <t>ลูกหนี้เงินยืมเงิน  - นอกงบประมาณ (เงินรับฝาก)</t>
  </si>
  <si>
    <t>ภาษีมูลค่าเพิ่ม 1 ใน 9</t>
  </si>
  <si>
    <t>ภาษีสรรพสามิต</t>
  </si>
  <si>
    <t>12) เงินอุดหนุน - โครงการพระราชดำริด้านสาธารณสุข (เพิ่มเติม) ครั้งที่ 2</t>
  </si>
  <si>
    <t xml:space="preserve">2) โครงการก่อสร้างถนนลาดยางแอสฟัลท์ติกคอนกรีต รหัสทางหลวงท้องถิ่น สายโคกไม้แดง ม.8 </t>
  </si>
  <si>
    <t xml:space="preserve">3) โครงการก่อสร้างถนนลาดยางแอสฟัลท์ติกคอนกรีต รหัสทางหลวงท้องถิ่น สายแหลมยูงฯ ม.7 </t>
  </si>
  <si>
    <t xml:space="preserve">4) โครงการก่อสร้างถนนลาดยางแอสฟัลท์ติกคอนกรีต รหัสทางหลวงท้องถิ่น สายไสเทียม ม.8 </t>
  </si>
  <si>
    <t xml:space="preserve">5) โครงการก่อสร้างถนนลาดยางแอสฟัลท์ติกคอนกรีตรหัสทางหลวงท้องถิ่น.สายทุ่งกรวดฯ ม.7 ,8 </t>
  </si>
  <si>
    <t xml:space="preserve">6) โครงการก่อสร้างถนนลาดยางแอสฟัลท์ติกคอนกรีต รหัสทางหลวงท้องถิ่น สายบ้านคอกช้าง ม.8 </t>
  </si>
  <si>
    <t xml:space="preserve">7) โครงการก่อสร้างถนนลาดยางแอสฟัลท์ติกคอนกรีต รหัสทางหลวงท้องถิ่น สายปากน้ำฯ ม.7 </t>
  </si>
  <si>
    <t xml:space="preserve">8) โครงการก่อสร้างถนนลาดยางแอสฟัลท์ติกคอนกรีต รหัสทางหลวงท้องถิ่น สายนายลอยฯ ม.7 </t>
  </si>
  <si>
    <t>หมวดเงินอุดหนุนเฉพาะกิจ ประจำปีงบประมาณ 2562</t>
  </si>
  <si>
    <t xml:space="preserve">9) โครงการก่อสร้างถนนลาดยางแอสฟัลท์ติกคอนกรีต รหัสทางหลวงท้องถิ่น สายข้างโรงเรียนฯ ม.7 </t>
  </si>
  <si>
    <t xml:space="preserve">11) โครงการก่อสร้างถนนลาดยางแอสฟัลท์ติกคอนกรีต รหัสทางหลวงท้องถิ่น สายโรงถ่านฯ ม.8 </t>
  </si>
  <si>
    <t xml:space="preserve">10) โครงการก่อสร้างถนนลาดยางแอสฟัลท์ติกคอนกรีต รหัสทางหลวงท้องถิ่น สายบ่อขยะฯ ม.8 </t>
  </si>
  <si>
    <t>9) เงินอุดหนุน - ศูนย์พัฒนาเด็กเล็ก (ค่าอาหารเสริมนม ปฐมวัย เมย.-มิย.62)</t>
  </si>
  <si>
    <t>5) เงินอุดหนุน - ศพด. (เงินเดือน/ค่าตอบแทน ไตรมาส 3 เมย. - มิย.62)</t>
  </si>
  <si>
    <t>7) เงินอุดหนุน-ศูนย์พัฒนาเด็กเล็ก (ค่าอาหารกลางวัน ปฐมวัย เมย. - มิย.62)</t>
  </si>
  <si>
    <t>8) เงินอุดหนุน-ศพด. (ค่าอาหารกลางวัน ปฐมศึกษา ไตรมาส 3 เมย. - มิย.62)</t>
  </si>
  <si>
    <t>10) เงินอุดหนุน - ศพด. (ค่าอาหารเสริมนม ปฐมศึกษา ไตรมาส 3 เมย.-มิย.62)</t>
  </si>
  <si>
    <t>2) เงินอุดหนุน -  เบี้ยยังชีพผู้สูงอายุ  (เมย-มิย.62)</t>
  </si>
  <si>
    <t>3) เงินอุดหนุน - เบี้ยยังชีพคนพิการ (เมย. - มิย.62)</t>
  </si>
  <si>
    <t>4) เงินอุดหนุน - ผู้ป่วยเอดส์  (เมย-มิย.62)</t>
  </si>
  <si>
    <t>54200001</t>
  </si>
  <si>
    <t xml:space="preserve">เงินอุดหนุนเฉพาะกิจ-ค่าครุภัณฑ์ (โครงการจัอซื้ออุปกรณ์การศึกษา (DLTV)  </t>
  </si>
  <si>
    <t>เงินอุดหนุนเฉพาะกิจ-ค่าที่ดินและสิ่งก่อสร้าง (โครงการก่อสร้างถนนลาดยางแอสฟัลท์ฯ)</t>
  </si>
  <si>
    <t>ยอดคงเหลือตามรายงานธนาคาร ณ วันที่ 31  พฤษภาคม 2562</t>
  </si>
  <si>
    <t>ยอดคงเหลือตามบัญชี  ณ วันที่ 31  พฤษภาคม 2562</t>
  </si>
  <si>
    <t>รับคืนเงินสมทบประกันสังคม</t>
  </si>
  <si>
    <t>10058088</t>
  </si>
  <si>
    <t>10058101</t>
  </si>
  <si>
    <t>10058116</t>
  </si>
  <si>
    <t>10058131</t>
  </si>
  <si>
    <t>10058136</t>
  </si>
  <si>
    <t>10058137</t>
  </si>
  <si>
    <t>10058138</t>
  </si>
  <si>
    <t>10058140</t>
  </si>
  <si>
    <t>10058143</t>
  </si>
  <si>
    <t>10058144</t>
  </si>
  <si>
    <t>10058145</t>
  </si>
  <si>
    <t>10058146</t>
  </si>
  <si>
    <t>ถูกตามงบ</t>
  </si>
  <si>
    <t>10057114</t>
  </si>
  <si>
    <t>10058135</t>
  </si>
  <si>
    <t>ณ วันที่ 31  พฤษภาคม 2562</t>
  </si>
  <si>
    <t>15) เงินอุดหนุน - กิจกรรมพัฒนาคุณภาพผู้เรียน (ศพด.)</t>
  </si>
  <si>
    <t>16) เงินอุดหนุน - เครื่องแบบนักเรียน (ศพด.)</t>
  </si>
  <si>
    <t>17) เงินอุดหนุน - หนังสือเรียน (ศพด.)</t>
  </si>
  <si>
    <t>18) เงินอุดหนุน - อุปกรณ์การเรียน (ศพด.)</t>
  </si>
  <si>
    <t xml:space="preserve">  ณ วันที่ 31  พฤษภาคม 2562</t>
  </si>
  <si>
    <t>ลาแอส</t>
  </si>
  <si>
    <t>มือ</t>
  </si>
  <si>
    <t>ปีงบประมาณ  2562  ประจำเดือนพฤษภาคม พ.ศ. 2562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</si>
</sst>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u val="singleAccounting"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sz val="12.5"/>
      <name val="TH SarabunPSK"/>
      <family val="2"/>
    </font>
    <font>
      <b/>
      <sz val="14.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indexed="10"/>
      <name val="TH SarabunPSK"/>
      <family val="2"/>
    </font>
    <font>
      <b/>
      <sz val="14"/>
      <color indexed="8"/>
      <name val="TH SarabunPSK"/>
      <family val="2"/>
    </font>
    <font>
      <sz val="12"/>
      <color indexed="10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sz val="11.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4.5"/>
      <color indexed="8"/>
      <name val="TH SarabunPSK"/>
      <family val="2"/>
    </font>
    <font>
      <b/>
      <sz val="14.6"/>
      <color indexed="8"/>
      <name val="TH SarabunPSK"/>
      <family val="2"/>
    </font>
    <font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1.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rgb="FFFF0000"/>
      <name val="TH SarabunPSK"/>
      <family val="2"/>
    </font>
    <font>
      <b/>
      <sz val="14.5"/>
      <color theme="1"/>
      <name val="TH SarabunPSK"/>
      <family val="2"/>
    </font>
    <font>
      <b/>
      <sz val="14.6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/>
    </xf>
    <xf numFmtId="187" fontId="12" fillId="33" borderId="10" xfId="33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3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3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Border="1" applyAlignment="1">
      <alignment horizontal="right"/>
    </xf>
    <xf numFmtId="187" fontId="9" fillId="0" borderId="0" xfId="0" applyNumberFormat="1" applyFont="1" applyAlignment="1">
      <alignment/>
    </xf>
    <xf numFmtId="43" fontId="14" fillId="34" borderId="10" xfId="33" applyFont="1" applyFill="1" applyBorder="1" applyAlignment="1">
      <alignment/>
    </xf>
    <xf numFmtId="43" fontId="9" fillId="0" borderId="0" xfId="0" applyNumberFormat="1" applyFont="1" applyAlignment="1">
      <alignment/>
    </xf>
    <xf numFmtId="187" fontId="13" fillId="0" borderId="0" xfId="33" applyNumberFormat="1" applyFont="1" applyAlignment="1">
      <alignment/>
    </xf>
    <xf numFmtId="0" fontId="13" fillId="0" borderId="0" xfId="0" applyFont="1" applyAlignment="1">
      <alignment/>
    </xf>
    <xf numFmtId="187" fontId="12" fillId="0" borderId="10" xfId="33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3" applyNumberFormat="1" applyFont="1" applyBorder="1" applyAlignment="1">
      <alignment/>
    </xf>
    <xf numFmtId="43" fontId="14" fillId="0" borderId="0" xfId="33" applyFont="1" applyAlignment="1">
      <alignment/>
    </xf>
    <xf numFmtId="0" fontId="13" fillId="0" borderId="0" xfId="0" applyFont="1" applyAlignment="1">
      <alignment/>
    </xf>
    <xf numFmtId="187" fontId="13" fillId="0" borderId="12" xfId="33" applyNumberFormat="1" applyFont="1" applyBorder="1" applyAlignment="1">
      <alignment/>
    </xf>
    <xf numFmtId="187" fontId="13" fillId="0" borderId="12" xfId="33" applyNumberFormat="1" applyFont="1" applyFill="1" applyBorder="1" applyAlignment="1">
      <alignment/>
    </xf>
    <xf numFmtId="187" fontId="13" fillId="0" borderId="14" xfId="33" applyNumberFormat="1" applyFont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3" applyNumberFormat="1" applyFont="1" applyBorder="1" applyAlignment="1">
      <alignment horizontal="center"/>
    </xf>
    <xf numFmtId="187" fontId="13" fillId="0" borderId="12" xfId="33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87" fontId="13" fillId="0" borderId="0" xfId="33" applyNumberFormat="1" applyFont="1" applyAlignment="1">
      <alignment horizontal="center"/>
    </xf>
    <xf numFmtId="187" fontId="13" fillId="0" borderId="14" xfId="33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4" fillId="34" borderId="10" xfId="33" applyFont="1" applyFill="1" applyBorder="1" applyAlignment="1">
      <alignment horizontal="center"/>
    </xf>
    <xf numFmtId="187" fontId="12" fillId="0" borderId="10" xfId="33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2" fillId="0" borderId="14" xfId="33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3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7" xfId="33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3" applyFont="1" applyFill="1" applyBorder="1" applyAlignment="1">
      <alignment vertical="top"/>
    </xf>
    <xf numFmtId="4" fontId="7" fillId="0" borderId="10" xfId="33" applyNumberFormat="1" applyFont="1" applyFill="1" applyBorder="1" applyAlignment="1">
      <alignment vertical="top"/>
    </xf>
    <xf numFmtId="43" fontId="7" fillId="0" borderId="17" xfId="33" applyFont="1" applyFill="1" applyBorder="1" applyAlignment="1">
      <alignment vertical="top"/>
    </xf>
    <xf numFmtId="4" fontId="4" fillId="0" borderId="12" xfId="33" applyNumberFormat="1" applyFont="1" applyFill="1" applyBorder="1" applyAlignment="1">
      <alignment horizontal="right" vertical="top"/>
    </xf>
    <xf numFmtId="43" fontId="4" fillId="0" borderId="12" xfId="33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3" applyFont="1" applyFill="1" applyBorder="1" applyAlignment="1">
      <alignment horizontal="right" vertical="top"/>
    </xf>
    <xf numFmtId="43" fontId="4" fillId="0" borderId="0" xfId="33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8" xfId="33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3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3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3" applyFont="1" applyFill="1" applyBorder="1" applyAlignment="1">
      <alignment vertical="top"/>
    </xf>
    <xf numFmtId="43" fontId="4" fillId="0" borderId="15" xfId="33" applyFont="1" applyFill="1" applyBorder="1" applyAlignment="1">
      <alignment horizontal="right" vertical="top"/>
    </xf>
    <xf numFmtId="43" fontId="4" fillId="0" borderId="13" xfId="33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43" fontId="4" fillId="0" borderId="21" xfId="33" applyFont="1" applyFill="1" applyBorder="1" applyAlignment="1">
      <alignment vertical="top"/>
    </xf>
    <xf numFmtId="187" fontId="12" fillId="0" borderId="10" xfId="33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7" fontId="13" fillId="0" borderId="12" xfId="33" applyNumberFormat="1" applyFont="1" applyBorder="1" applyAlignment="1">
      <alignment horizontal="center" vertical="top"/>
    </xf>
    <xf numFmtId="187" fontId="13" fillId="0" borderId="11" xfId="33" applyNumberFormat="1" applyFont="1" applyBorder="1" applyAlignment="1">
      <alignment horizontal="center" vertical="top"/>
    </xf>
    <xf numFmtId="187" fontId="12" fillId="0" borderId="22" xfId="33" applyNumberFormat="1" applyFont="1" applyBorder="1" applyAlignment="1">
      <alignment horizontal="center" vertical="top"/>
    </xf>
    <xf numFmtId="187" fontId="12" fillId="0" borderId="14" xfId="33" applyNumberFormat="1" applyFont="1" applyBorder="1" applyAlignment="1">
      <alignment horizontal="center" vertical="top"/>
    </xf>
    <xf numFmtId="187" fontId="12" fillId="0" borderId="10" xfId="33" applyNumberFormat="1" applyFont="1" applyBorder="1" applyAlignment="1">
      <alignment/>
    </xf>
    <xf numFmtId="187" fontId="12" fillId="0" borderId="0" xfId="33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3" fontId="4" fillId="0" borderId="0" xfId="33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188" fontId="4" fillId="0" borderId="25" xfId="33" applyNumberFormat="1" applyFont="1" applyFill="1" applyBorder="1" applyAlignment="1">
      <alignment horizontal="center" vertical="top"/>
    </xf>
    <xf numFmtId="41" fontId="4" fillId="0" borderId="24" xfId="33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5" xfId="0" applyFont="1" applyBorder="1" applyAlignment="1">
      <alignment vertical="top"/>
    </xf>
    <xf numFmtId="49" fontId="4" fillId="0" borderId="25" xfId="0" applyNumberFormat="1" applyFont="1" applyBorder="1" applyAlignment="1">
      <alignment horizontal="center" vertical="top"/>
    </xf>
    <xf numFmtId="41" fontId="4" fillId="0" borderId="25" xfId="33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43" fontId="4" fillId="0" borderId="25" xfId="33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3" applyNumberFormat="1" applyFont="1" applyBorder="1" applyAlignment="1">
      <alignment vertical="top"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top"/>
    </xf>
    <xf numFmtId="188" fontId="7" fillId="0" borderId="14" xfId="33" applyNumberFormat="1" applyFont="1" applyBorder="1" applyAlignment="1">
      <alignment vertical="top"/>
    </xf>
    <xf numFmtId="43" fontId="6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187" fontId="4" fillId="0" borderId="0" xfId="33" applyNumberFormat="1" applyFont="1" applyBorder="1" applyAlignment="1">
      <alignment vertical="top"/>
    </xf>
    <xf numFmtId="187" fontId="2" fillId="0" borderId="15" xfId="33" applyNumberFormat="1" applyFont="1" applyBorder="1" applyAlignment="1">
      <alignment vertical="top"/>
    </xf>
    <xf numFmtId="14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87" fontId="4" fillId="0" borderId="0" xfId="33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87" fontId="4" fillId="0" borderId="26" xfId="33" applyNumberFormat="1" applyFon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87" fontId="7" fillId="0" borderId="0" xfId="33" applyNumberFormat="1" applyFont="1" applyAlignment="1">
      <alignment vertical="top"/>
    </xf>
    <xf numFmtId="0" fontId="3" fillId="0" borderId="0" xfId="0" applyFont="1" applyAlignment="1">
      <alignment vertical="top"/>
    </xf>
    <xf numFmtId="187" fontId="3" fillId="0" borderId="0" xfId="33" applyNumberFormat="1" applyFont="1" applyAlignment="1">
      <alignment vertical="top"/>
    </xf>
    <xf numFmtId="4" fontId="4" fillId="0" borderId="19" xfId="33" applyNumberFormat="1" applyFont="1" applyFill="1" applyBorder="1" applyAlignment="1">
      <alignment horizontal="right" vertical="top"/>
    </xf>
    <xf numFmtId="187" fontId="12" fillId="0" borderId="12" xfId="33" applyNumberFormat="1" applyFont="1" applyBorder="1" applyAlignment="1">
      <alignment horizontal="center"/>
    </xf>
    <xf numFmtId="187" fontId="13" fillId="0" borderId="27" xfId="33" applyNumberFormat="1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3" fontId="14" fillId="35" borderId="10" xfId="33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187" fontId="14" fillId="34" borderId="10" xfId="0" applyNumberFormat="1" applyFont="1" applyFill="1" applyBorder="1" applyAlignment="1">
      <alignment/>
    </xf>
    <xf numFmtId="43" fontId="14" fillId="0" borderId="0" xfId="33" applyFont="1" applyAlignment="1">
      <alignment horizontal="center"/>
    </xf>
    <xf numFmtId="43" fontId="14" fillId="34" borderId="10" xfId="33" applyFont="1" applyFill="1" applyBorder="1" applyAlignment="1">
      <alignment horizontal="center" vertical="center"/>
    </xf>
    <xf numFmtId="43" fontId="14" fillId="0" borderId="0" xfId="0" applyNumberFormat="1" applyFont="1" applyAlignment="1">
      <alignment horizontal="center"/>
    </xf>
    <xf numFmtId="43" fontId="14" fillId="0" borderId="0" xfId="33" applyFont="1" applyAlignment="1">
      <alignment/>
    </xf>
    <xf numFmtId="43" fontId="11" fillId="0" borderId="0" xfId="0" applyNumberFormat="1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14" fontId="16" fillId="0" borderId="0" xfId="0" applyNumberFormat="1" applyFont="1" applyAlignment="1">
      <alignment vertical="top"/>
    </xf>
    <xf numFmtId="187" fontId="18" fillId="0" borderId="0" xfId="33" applyNumberFormat="1" applyFont="1" applyAlignment="1">
      <alignment vertical="top"/>
    </xf>
    <xf numFmtId="187" fontId="19" fillId="0" borderId="0" xfId="33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5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3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43" fontId="13" fillId="0" borderId="0" xfId="33" applyFont="1" applyAlignment="1">
      <alignment/>
    </xf>
    <xf numFmtId="4" fontId="4" fillId="0" borderId="13" xfId="33" applyNumberFormat="1" applyFont="1" applyFill="1" applyBorder="1" applyAlignment="1">
      <alignment vertical="top"/>
    </xf>
    <xf numFmtId="0" fontId="7" fillId="0" borderId="31" xfId="0" applyFont="1" applyFill="1" applyBorder="1" applyAlignment="1">
      <alignment horizontal="center" vertical="top"/>
    </xf>
    <xf numFmtId="43" fontId="7" fillId="0" borderId="0" xfId="33" applyFont="1" applyFill="1" applyBorder="1" applyAlignment="1">
      <alignment horizontal="center" vertical="top"/>
    </xf>
    <xf numFmtId="43" fontId="4" fillId="0" borderId="0" xfId="33" applyFont="1" applyFill="1" applyBorder="1" applyAlignment="1">
      <alignment horizontal="center" vertical="top"/>
    </xf>
    <xf numFmtId="43" fontId="7" fillId="0" borderId="16" xfId="33" applyFont="1" applyFill="1" applyBorder="1" applyAlignment="1">
      <alignment horizontal="center" vertical="top"/>
    </xf>
    <xf numFmtId="43" fontId="4" fillId="0" borderId="11" xfId="33" applyFont="1" applyFill="1" applyBorder="1" applyAlignment="1">
      <alignment horizontal="center" vertical="top"/>
    </xf>
    <xf numFmtId="43" fontId="4" fillId="0" borderId="12" xfId="33" applyFont="1" applyFill="1" applyBorder="1" applyAlignment="1">
      <alignment horizontal="center" vertical="top"/>
    </xf>
    <xf numFmtId="4" fontId="4" fillId="0" borderId="20" xfId="33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1" fontId="4" fillId="0" borderId="25" xfId="33" applyNumberFormat="1" applyFont="1" applyFill="1" applyBorder="1" applyAlignment="1">
      <alignment horizontal="center" vertical="top"/>
    </xf>
    <xf numFmtId="187" fontId="17" fillId="33" borderId="13" xfId="33" applyNumberFormat="1" applyFont="1" applyFill="1" applyBorder="1" applyAlignment="1">
      <alignment horizontal="center"/>
    </xf>
    <xf numFmtId="187" fontId="12" fillId="0" borderId="13" xfId="33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top"/>
    </xf>
    <xf numFmtId="187" fontId="13" fillId="0" borderId="0" xfId="33" applyNumberFormat="1" applyFont="1" applyBorder="1" applyAlignment="1">
      <alignment horizontal="center"/>
    </xf>
    <xf numFmtId="187" fontId="13" fillId="0" borderId="17" xfId="33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9" fontId="4" fillId="0" borderId="25" xfId="0" applyNumberFormat="1" applyFont="1" applyBorder="1" applyAlignment="1">
      <alignment horizontal="justify" vertical="top"/>
    </xf>
    <xf numFmtId="188" fontId="4" fillId="0" borderId="25" xfId="33" applyNumberFormat="1" applyFont="1" applyFill="1" applyBorder="1" applyAlignment="1">
      <alignment horizontal="right" vertical="top"/>
    </xf>
    <xf numFmtId="0" fontId="24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87" fontId="13" fillId="0" borderId="17" xfId="33" applyNumberFormat="1" applyFont="1" applyBorder="1" applyAlignment="1">
      <alignment horizontal="center" vertical="top"/>
    </xf>
    <xf numFmtId="0" fontId="14" fillId="34" borderId="10" xfId="0" applyFont="1" applyFill="1" applyBorder="1" applyAlignment="1">
      <alignment horizontal="center"/>
    </xf>
    <xf numFmtId="43" fontId="4" fillId="0" borderId="0" xfId="33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2" fillId="0" borderId="12" xfId="0" applyFont="1" applyFill="1" applyBorder="1" applyAlignment="1">
      <alignment/>
    </xf>
    <xf numFmtId="43" fontId="5" fillId="0" borderId="0" xfId="33" applyFont="1" applyAlignment="1">
      <alignment vertical="top"/>
    </xf>
    <xf numFmtId="0" fontId="11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3" fontId="4" fillId="0" borderId="0" xfId="33" applyFont="1" applyFill="1" applyAlignment="1">
      <alignment vertical="top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43" fontId="7" fillId="0" borderId="13" xfId="33" applyFont="1" applyFill="1" applyBorder="1" applyAlignment="1">
      <alignment vertical="top"/>
    </xf>
    <xf numFmtId="4" fontId="7" fillId="0" borderId="12" xfId="33" applyNumberFormat="1" applyFont="1" applyFill="1" applyBorder="1" applyAlignment="1">
      <alignment vertical="top"/>
    </xf>
    <xf numFmtId="14" fontId="6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187" fontId="12" fillId="0" borderId="11" xfId="33" applyNumberFormat="1" applyFont="1" applyBorder="1" applyAlignment="1">
      <alignment/>
    </xf>
    <xf numFmtId="0" fontId="21" fillId="0" borderId="11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43" fontId="6" fillId="0" borderId="0" xfId="33" applyFont="1" applyBorder="1" applyAlignment="1">
      <alignment horizontal="center" vertical="top"/>
    </xf>
    <xf numFmtId="43" fontId="3" fillId="0" borderId="10" xfId="33" applyFont="1" applyFill="1" applyBorder="1" applyAlignment="1">
      <alignment vertical="top"/>
    </xf>
    <xf numFmtId="43" fontId="3" fillId="0" borderId="12" xfId="33" applyFont="1" applyFill="1" applyBorder="1" applyAlignment="1">
      <alignment vertical="top"/>
    </xf>
    <xf numFmtId="43" fontId="6" fillId="0" borderId="12" xfId="33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center"/>
    </xf>
    <xf numFmtId="43" fontId="14" fillId="0" borderId="0" xfId="33" applyNumberFormat="1" applyFont="1" applyAlignment="1">
      <alignment/>
    </xf>
    <xf numFmtId="43" fontId="14" fillId="35" borderId="10" xfId="33" applyNumberFormat="1" applyFont="1" applyFill="1" applyBorder="1" applyAlignment="1">
      <alignment horizontal="center"/>
    </xf>
    <xf numFmtId="43" fontId="14" fillId="34" borderId="10" xfId="33" applyNumberFormat="1" applyFont="1" applyFill="1" applyBorder="1" applyAlignment="1">
      <alignment/>
    </xf>
    <xf numFmtId="43" fontId="14" fillId="34" borderId="10" xfId="0" applyNumberFormat="1" applyFont="1" applyFill="1" applyBorder="1" applyAlignment="1">
      <alignment/>
    </xf>
    <xf numFmtId="43" fontId="14" fillId="35" borderId="10" xfId="33" applyNumberFormat="1" applyFont="1" applyFill="1" applyBorder="1" applyAlignment="1">
      <alignment horizontal="center" vertical="center"/>
    </xf>
    <xf numFmtId="43" fontId="14" fillId="0" borderId="0" xfId="33" applyNumberFormat="1" applyFont="1" applyAlignment="1">
      <alignment horizontal="center"/>
    </xf>
    <xf numFmtId="43" fontId="14" fillId="34" borderId="10" xfId="33" applyNumberFormat="1" applyFont="1" applyFill="1" applyBorder="1" applyAlignment="1">
      <alignment horizontal="center"/>
    </xf>
    <xf numFmtId="43" fontId="14" fillId="0" borderId="0" xfId="33" applyNumberFormat="1" applyFont="1" applyAlignment="1">
      <alignment/>
    </xf>
    <xf numFmtId="0" fontId="11" fillId="0" borderId="28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187" fontId="7" fillId="0" borderId="0" xfId="0" applyNumberFormat="1" applyFont="1" applyBorder="1" applyAlignment="1">
      <alignment vertical="top"/>
    </xf>
    <xf numFmtId="187" fontId="7" fillId="0" borderId="12" xfId="0" applyNumberFormat="1" applyFont="1" applyBorder="1" applyAlignment="1">
      <alignment vertical="top"/>
    </xf>
    <xf numFmtId="0" fontId="7" fillId="0" borderId="34" xfId="0" applyFont="1" applyBorder="1" applyAlignment="1">
      <alignment vertical="top"/>
    </xf>
    <xf numFmtId="43" fontId="2" fillId="0" borderId="12" xfId="33" applyFont="1" applyBorder="1" applyAlignment="1">
      <alignment vertical="top"/>
    </xf>
    <xf numFmtId="0" fontId="11" fillId="0" borderId="12" xfId="0" applyFont="1" applyBorder="1" applyAlignment="1">
      <alignment vertical="top"/>
    </xf>
    <xf numFmtId="187" fontId="7" fillId="0" borderId="12" xfId="33" applyNumberFormat="1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11" fillId="0" borderId="20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14" fontId="6" fillId="0" borderId="0" xfId="0" applyNumberFormat="1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187" fontId="7" fillId="0" borderId="37" xfId="33" applyNumberFormat="1" applyFont="1" applyBorder="1" applyAlignment="1">
      <alignment vertical="top"/>
    </xf>
    <xf numFmtId="43" fontId="4" fillId="0" borderId="12" xfId="33" applyFont="1" applyBorder="1" applyAlignment="1">
      <alignment vertical="top"/>
    </xf>
    <xf numFmtId="0" fontId="4" fillId="0" borderId="12" xfId="0" applyFont="1" applyBorder="1" applyAlignment="1">
      <alignment vertical="top"/>
    </xf>
    <xf numFmtId="187" fontId="4" fillId="0" borderId="12" xfId="33" applyNumberFormat="1" applyFont="1" applyBorder="1" applyAlignment="1">
      <alignment vertical="top"/>
    </xf>
    <xf numFmtId="43" fontId="7" fillId="0" borderId="12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 vertical="top"/>
    </xf>
    <xf numFmtId="187" fontId="7" fillId="0" borderId="38" xfId="0" applyNumberFormat="1" applyFont="1" applyBorder="1" applyAlignment="1">
      <alignment vertical="top"/>
    </xf>
    <xf numFmtId="43" fontId="3" fillId="0" borderId="12" xfId="0" applyNumberFormat="1" applyFont="1" applyBorder="1" applyAlignment="1">
      <alignment vertical="top"/>
    </xf>
    <xf numFmtId="187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187" fontId="3" fillId="0" borderId="12" xfId="33" applyNumberFormat="1" applyFont="1" applyBorder="1" applyAlignment="1">
      <alignment vertical="top"/>
    </xf>
    <xf numFmtId="187" fontId="6" fillId="0" borderId="12" xfId="33" applyNumberFormat="1" applyFont="1" applyBorder="1" applyAlignment="1">
      <alignment vertical="top"/>
    </xf>
    <xf numFmtId="187" fontId="2" fillId="0" borderId="12" xfId="33" applyNumberFormat="1" applyFont="1" applyBorder="1" applyAlignment="1">
      <alignment vertical="top"/>
    </xf>
    <xf numFmtId="43" fontId="6" fillId="0" borderId="12" xfId="33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20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43" fontId="11" fillId="0" borderId="0" xfId="33" applyFont="1" applyFill="1" applyAlignment="1">
      <alignment vertical="top"/>
    </xf>
    <xf numFmtId="43" fontId="11" fillId="0" borderId="0" xfId="33" applyFont="1" applyFill="1" applyBorder="1" applyAlignment="1">
      <alignment vertical="top"/>
    </xf>
    <xf numFmtId="43" fontId="11" fillId="0" borderId="15" xfId="33" applyFont="1" applyFill="1" applyBorder="1" applyAlignment="1">
      <alignment horizontal="center" vertical="center"/>
    </xf>
    <xf numFmtId="43" fontId="11" fillId="0" borderId="0" xfId="33" applyFont="1" applyFill="1" applyAlignment="1">
      <alignment vertical="center"/>
    </xf>
    <xf numFmtId="43" fontId="11" fillId="0" borderId="0" xfId="33" applyFont="1" applyFill="1" applyBorder="1" applyAlignment="1">
      <alignment vertical="center"/>
    </xf>
    <xf numFmtId="43" fontId="11" fillId="0" borderId="15" xfId="33" applyFont="1" applyFill="1" applyBorder="1" applyAlignment="1">
      <alignment vertical="center"/>
    </xf>
    <xf numFmtId="0" fontId="6" fillId="0" borderId="15" xfId="0" applyFont="1" applyFill="1" applyBorder="1" applyAlignment="1">
      <alignment vertical="top"/>
    </xf>
    <xf numFmtId="187" fontId="9" fillId="0" borderId="14" xfId="33" applyNumberFormat="1" applyFont="1" applyBorder="1" applyAlignment="1">
      <alignment/>
    </xf>
    <xf numFmtId="0" fontId="5" fillId="0" borderId="25" xfId="0" applyFont="1" applyBorder="1" applyAlignment="1">
      <alignment vertical="top"/>
    </xf>
    <xf numFmtId="2" fontId="4" fillId="0" borderId="25" xfId="33" applyNumberFormat="1" applyFont="1" applyFill="1" applyBorder="1" applyAlignment="1">
      <alignment horizontal="right" vertical="center"/>
    </xf>
    <xf numFmtId="2" fontId="4" fillId="0" borderId="25" xfId="33" applyNumberFormat="1" applyFont="1" applyFill="1" applyBorder="1" applyAlignment="1">
      <alignment vertical="top"/>
    </xf>
    <xf numFmtId="187" fontId="12" fillId="0" borderId="14" xfId="33" applyNumberFormat="1" applyFont="1" applyBorder="1" applyAlignment="1">
      <alignment/>
    </xf>
    <xf numFmtId="187" fontId="13" fillId="0" borderId="19" xfId="33" applyNumberFormat="1" applyFont="1" applyBorder="1" applyAlignment="1">
      <alignment horizontal="center"/>
    </xf>
    <xf numFmtId="43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4" fontId="7" fillId="0" borderId="16" xfId="33" applyNumberFormat="1" applyFont="1" applyFill="1" applyBorder="1" applyAlignment="1">
      <alignment vertical="top"/>
    </xf>
    <xf numFmtId="0" fontId="8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9" fillId="0" borderId="12" xfId="0" applyFont="1" applyBorder="1" applyAlignment="1">
      <alignment/>
    </xf>
    <xf numFmtId="43" fontId="4" fillId="0" borderId="25" xfId="33" applyFont="1" applyFill="1" applyBorder="1" applyAlignment="1">
      <alignment horizontal="right" vertical="top"/>
    </xf>
    <xf numFmtId="43" fontId="4" fillId="0" borderId="17" xfId="33" applyFont="1" applyBorder="1" applyAlignment="1">
      <alignment vertical="top"/>
    </xf>
    <xf numFmtId="43" fontId="9" fillId="0" borderId="0" xfId="33" applyFont="1" applyAlignment="1">
      <alignment/>
    </xf>
    <xf numFmtId="14" fontId="6" fillId="0" borderId="0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187" fontId="13" fillId="0" borderId="10" xfId="33" applyNumberFormat="1" applyFont="1" applyBorder="1" applyAlignment="1">
      <alignment/>
    </xf>
    <xf numFmtId="0" fontId="7" fillId="0" borderId="12" xfId="0" applyFont="1" applyBorder="1" applyAlignment="1">
      <alignment vertical="top"/>
    </xf>
    <xf numFmtId="43" fontId="11" fillId="0" borderId="0" xfId="33" applyFont="1" applyFill="1" applyAlignment="1">
      <alignment horizontal="center" vertical="center"/>
    </xf>
    <xf numFmtId="43" fontId="11" fillId="0" borderId="0" xfId="33" applyFont="1" applyFill="1" applyAlignment="1">
      <alignment horizontal="center"/>
    </xf>
    <xf numFmtId="0" fontId="7" fillId="0" borderId="0" xfId="0" applyFont="1" applyBorder="1" applyAlignment="1">
      <alignment horizontal="left" vertical="top"/>
    </xf>
    <xf numFmtId="187" fontId="13" fillId="0" borderId="13" xfId="33" applyNumberFormat="1" applyFont="1" applyBorder="1" applyAlignment="1">
      <alignment horizontal="center" vertical="top"/>
    </xf>
    <xf numFmtId="43" fontId="6" fillId="0" borderId="0" xfId="33" applyFont="1" applyAlignment="1">
      <alignment vertical="top"/>
    </xf>
    <xf numFmtId="43" fontId="6" fillId="0" borderId="0" xfId="33" applyFont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43" fontId="13" fillId="0" borderId="0" xfId="33" applyFont="1" applyAlignment="1">
      <alignment horizontal="right"/>
    </xf>
    <xf numFmtId="187" fontId="13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vertical="top"/>
    </xf>
    <xf numFmtId="187" fontId="7" fillId="0" borderId="10" xfId="0" applyNumberFormat="1" applyFont="1" applyBorder="1" applyAlignment="1">
      <alignment vertical="top"/>
    </xf>
    <xf numFmtId="0" fontId="13" fillId="0" borderId="12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 vertical="top"/>
    </xf>
    <xf numFmtId="0" fontId="75" fillId="0" borderId="12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top"/>
    </xf>
    <xf numFmtId="43" fontId="4" fillId="0" borderId="0" xfId="33" applyFont="1" applyFill="1" applyBorder="1" applyAlignment="1">
      <alignment horizontal="right" vertical="top"/>
    </xf>
    <xf numFmtId="0" fontId="26" fillId="0" borderId="25" xfId="0" applyFont="1" applyBorder="1" applyAlignment="1">
      <alignment vertical="top"/>
    </xf>
    <xf numFmtId="188" fontId="4" fillId="0" borderId="25" xfId="33" applyNumberFormat="1" applyFont="1" applyFill="1" applyBorder="1" applyAlignment="1">
      <alignment vertical="top"/>
    </xf>
    <xf numFmtId="43" fontId="4" fillId="0" borderId="25" xfId="33" applyFont="1" applyFill="1" applyBorder="1" applyAlignment="1">
      <alignment horizontal="right" vertical="center"/>
    </xf>
    <xf numFmtId="43" fontId="4" fillId="0" borderId="25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43" fontId="7" fillId="0" borderId="12" xfId="33" applyFont="1" applyFill="1" applyBorder="1" applyAlignment="1">
      <alignment horizontal="center" vertical="top"/>
    </xf>
    <xf numFmtId="43" fontId="13" fillId="0" borderId="0" xfId="33" applyFont="1" applyAlignment="1">
      <alignment/>
    </xf>
    <xf numFmtId="187" fontId="9" fillId="0" borderId="17" xfId="33" applyNumberFormat="1" applyFont="1" applyBorder="1" applyAlignment="1">
      <alignment horizontal="center" vertical="center"/>
    </xf>
    <xf numFmtId="187" fontId="9" fillId="0" borderId="11" xfId="33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3" fontId="5" fillId="0" borderId="0" xfId="0" applyNumberFormat="1" applyFont="1" applyBorder="1" applyAlignment="1">
      <alignment vertical="top"/>
    </xf>
    <xf numFmtId="14" fontId="9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87" fontId="7" fillId="0" borderId="38" xfId="33" applyNumberFormat="1" applyFont="1" applyBorder="1" applyAlignment="1">
      <alignment vertical="top"/>
    </xf>
    <xf numFmtId="0" fontId="76" fillId="0" borderId="0" xfId="0" applyFont="1" applyFill="1" applyAlignment="1">
      <alignment horizontal="center" vertical="top"/>
    </xf>
    <xf numFmtId="0" fontId="76" fillId="0" borderId="10" xfId="0" applyFont="1" applyFill="1" applyBorder="1" applyAlignment="1">
      <alignment horizontal="center" vertical="top"/>
    </xf>
    <xf numFmtId="4" fontId="77" fillId="0" borderId="12" xfId="0" applyNumberFormat="1" applyFont="1" applyFill="1" applyBorder="1" applyAlignment="1">
      <alignment vertical="top"/>
    </xf>
    <xf numFmtId="4" fontId="77" fillId="0" borderId="12" xfId="33" applyNumberFormat="1" applyFont="1" applyFill="1" applyBorder="1" applyAlignment="1">
      <alignment vertical="top"/>
    </xf>
    <xf numFmtId="4" fontId="76" fillId="0" borderId="10" xfId="33" applyNumberFormat="1" applyFont="1" applyFill="1" applyBorder="1" applyAlignment="1">
      <alignment vertical="top"/>
    </xf>
    <xf numFmtId="4" fontId="77" fillId="0" borderId="12" xfId="33" applyNumberFormat="1" applyFont="1" applyFill="1" applyBorder="1" applyAlignment="1">
      <alignment horizontal="right" vertical="top"/>
    </xf>
    <xf numFmtId="4" fontId="77" fillId="0" borderId="12" xfId="0" applyNumberFormat="1" applyFont="1" applyFill="1" applyBorder="1" applyAlignment="1">
      <alignment horizontal="right" vertical="top"/>
    </xf>
    <xf numFmtId="4" fontId="76" fillId="0" borderId="11" xfId="33" applyNumberFormat="1" applyFont="1" applyFill="1" applyBorder="1" applyAlignment="1">
      <alignment vertical="top"/>
    </xf>
    <xf numFmtId="4" fontId="76" fillId="0" borderId="0" xfId="33" applyNumberFormat="1" applyFont="1" applyFill="1" applyBorder="1" applyAlignment="1">
      <alignment vertical="top"/>
    </xf>
    <xf numFmtId="0" fontId="77" fillId="0" borderId="12" xfId="0" applyFont="1" applyFill="1" applyBorder="1" applyAlignment="1">
      <alignment horizontal="center" vertical="top"/>
    </xf>
    <xf numFmtId="0" fontId="77" fillId="0" borderId="12" xfId="0" applyFont="1" applyFill="1" applyBorder="1" applyAlignment="1">
      <alignment vertical="top"/>
    </xf>
    <xf numFmtId="0" fontId="77" fillId="0" borderId="17" xfId="0" applyFont="1" applyFill="1" applyBorder="1" applyAlignment="1">
      <alignment vertical="top"/>
    </xf>
    <xf numFmtId="4" fontId="77" fillId="0" borderId="17" xfId="0" applyNumberFormat="1" applyFont="1" applyFill="1" applyBorder="1" applyAlignment="1">
      <alignment horizontal="right" vertical="top"/>
    </xf>
    <xf numFmtId="4" fontId="77" fillId="0" borderId="17" xfId="33" applyNumberFormat="1" applyFont="1" applyFill="1" applyBorder="1" applyAlignment="1">
      <alignment vertical="top"/>
    </xf>
    <xf numFmtId="4" fontId="77" fillId="0" borderId="17" xfId="33" applyNumberFormat="1" applyFont="1" applyFill="1" applyBorder="1" applyAlignment="1">
      <alignment horizontal="right" vertical="top"/>
    </xf>
    <xf numFmtId="4" fontId="77" fillId="0" borderId="19" xfId="33" applyNumberFormat="1" applyFont="1" applyFill="1" applyBorder="1" applyAlignment="1">
      <alignment horizontal="right" vertical="top"/>
    </xf>
    <xf numFmtId="4" fontId="77" fillId="0" borderId="13" xfId="33" applyNumberFormat="1" applyFont="1" applyFill="1" applyBorder="1" applyAlignment="1">
      <alignment vertical="top"/>
    </xf>
    <xf numFmtId="4" fontId="76" fillId="0" borderId="12" xfId="0" applyNumberFormat="1" applyFont="1" applyFill="1" applyBorder="1" applyAlignment="1">
      <alignment horizontal="right" vertical="top"/>
    </xf>
    <xf numFmtId="4" fontId="76" fillId="0" borderId="10" xfId="0" applyNumberFormat="1" applyFont="1" applyFill="1" applyBorder="1" applyAlignment="1">
      <alignment horizontal="right" vertical="top"/>
    </xf>
    <xf numFmtId="0" fontId="76" fillId="0" borderId="12" xfId="0" applyFont="1" applyFill="1" applyBorder="1" applyAlignment="1">
      <alignment horizontal="center" vertical="top"/>
    </xf>
    <xf numFmtId="4" fontId="76" fillId="0" borderId="42" xfId="0" applyNumberFormat="1" applyFont="1" applyFill="1" applyBorder="1" applyAlignment="1">
      <alignment horizontal="right" vertical="top"/>
    </xf>
    <xf numFmtId="0" fontId="77" fillId="0" borderId="0" xfId="0" applyFont="1" applyFill="1" applyAlignment="1">
      <alignment vertical="top"/>
    </xf>
    <xf numFmtId="4" fontId="78" fillId="0" borderId="0" xfId="33" applyNumberFormat="1" applyFont="1" applyFill="1" applyBorder="1" applyAlignment="1">
      <alignment horizontal="right" vertical="top"/>
    </xf>
    <xf numFmtId="4" fontId="78" fillId="0" borderId="0" xfId="33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/>
    </xf>
    <xf numFmtId="43" fontId="79" fillId="0" borderId="0" xfId="33" applyFont="1" applyFill="1" applyAlignment="1">
      <alignment horizontal="center"/>
    </xf>
    <xf numFmtId="43" fontId="25" fillId="0" borderId="10" xfId="33" applyFont="1" applyFill="1" applyBorder="1" applyAlignment="1">
      <alignment horizontal="center" vertical="top"/>
    </xf>
    <xf numFmtId="4" fontId="80" fillId="0" borderId="10" xfId="33" applyNumberFormat="1" applyFont="1" applyFill="1" applyBorder="1" applyAlignment="1">
      <alignment vertical="top"/>
    </xf>
    <xf numFmtId="4" fontId="25" fillId="0" borderId="10" xfId="33" applyNumberFormat="1" applyFont="1" applyFill="1" applyBorder="1" applyAlignment="1">
      <alignment vertical="top"/>
    </xf>
    <xf numFmtId="43" fontId="27" fillId="0" borderId="43" xfId="33" applyFont="1" applyFill="1" applyBorder="1" applyAlignment="1">
      <alignment horizontal="center" vertical="top"/>
    </xf>
    <xf numFmtId="4" fontId="81" fillId="0" borderId="38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81" fillId="0" borderId="13" xfId="0" applyNumberFormat="1" applyFont="1" applyFill="1" applyBorder="1" applyAlignment="1">
      <alignment horizontal="right" vertical="top"/>
    </xf>
    <xf numFmtId="4" fontId="3" fillId="0" borderId="16" xfId="33" applyNumberFormat="1" applyFont="1" applyFill="1" applyBorder="1" applyAlignment="1">
      <alignment vertical="top"/>
    </xf>
    <xf numFmtId="4" fontId="82" fillId="0" borderId="10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left" vertical="center"/>
    </xf>
    <xf numFmtId="0" fontId="74" fillId="0" borderId="20" xfId="0" applyFont="1" applyFill="1" applyBorder="1" applyAlignment="1">
      <alignment horizontal="center" vertical="top"/>
    </xf>
    <xf numFmtId="43" fontId="4" fillId="0" borderId="13" xfId="33" applyFont="1" applyFill="1" applyBorder="1" applyAlignment="1">
      <alignment horizontal="center" vertical="top"/>
    </xf>
    <xf numFmtId="4" fontId="77" fillId="0" borderId="13" xfId="0" applyNumberFormat="1" applyFont="1" applyFill="1" applyBorder="1" applyAlignment="1">
      <alignment horizontal="right" vertical="top"/>
    </xf>
    <xf numFmtId="43" fontId="83" fillId="0" borderId="0" xfId="33" applyFont="1" applyAlignment="1">
      <alignment vertical="top"/>
    </xf>
    <xf numFmtId="0" fontId="84" fillId="0" borderId="0" xfId="0" applyFont="1" applyAlignment="1">
      <alignment horizontal="left" vertical="top"/>
    </xf>
    <xf numFmtId="43" fontId="85" fillId="34" borderId="10" xfId="33" applyFont="1" applyFill="1" applyBorder="1" applyAlignment="1">
      <alignment horizontal="center"/>
    </xf>
    <xf numFmtId="43" fontId="85" fillId="34" borderId="10" xfId="33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43" fontId="12" fillId="0" borderId="12" xfId="33" applyFont="1" applyBorder="1" applyAlignment="1">
      <alignment/>
    </xf>
    <xf numFmtId="0" fontId="84" fillId="0" borderId="0" xfId="0" applyFont="1" applyBorder="1" applyAlignment="1">
      <alignment horizontal="left" vertical="top"/>
    </xf>
    <xf numFmtId="187" fontId="84" fillId="0" borderId="0" xfId="0" applyNumberFormat="1" applyFont="1" applyAlignment="1">
      <alignment horizontal="center"/>
    </xf>
    <xf numFmtId="0" fontId="84" fillId="0" borderId="0" xfId="0" applyFont="1" applyBorder="1" applyAlignment="1">
      <alignment vertical="top"/>
    </xf>
    <xf numFmtId="187" fontId="12" fillId="33" borderId="44" xfId="33" applyNumberFormat="1" applyFont="1" applyFill="1" applyBorder="1" applyAlignment="1">
      <alignment horizontal="center"/>
    </xf>
    <xf numFmtId="187" fontId="12" fillId="33" borderId="16" xfId="33" applyNumberFormat="1" applyFont="1" applyFill="1" applyBorder="1" applyAlignment="1">
      <alignment horizontal="center"/>
    </xf>
    <xf numFmtId="187" fontId="12" fillId="33" borderId="31" xfId="33" applyNumberFormat="1" applyFont="1" applyFill="1" applyBorder="1" applyAlignment="1">
      <alignment horizontal="center"/>
    </xf>
    <xf numFmtId="187" fontId="12" fillId="0" borderId="0" xfId="33" applyNumberFormat="1" applyFont="1" applyBorder="1" applyAlignment="1">
      <alignment horizontal="center"/>
    </xf>
    <xf numFmtId="187" fontId="12" fillId="0" borderId="0" xfId="33" applyNumberFormat="1" applyFont="1" applyAlignment="1">
      <alignment horizontal="center"/>
    </xf>
    <xf numFmtId="187" fontId="12" fillId="0" borderId="20" xfId="33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5" fontId="4" fillId="0" borderId="20" xfId="0" applyNumberFormat="1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1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187" fontId="7" fillId="0" borderId="0" xfId="33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10.57421875" style="18" customWidth="1"/>
    <col min="2" max="2" width="14.421875" style="18" bestFit="1" customWidth="1"/>
    <col min="3" max="3" width="9.421875" style="18" customWidth="1"/>
    <col min="4" max="4" width="11.28125" style="18" customWidth="1"/>
    <col min="5" max="5" width="26.8515625" style="18" customWidth="1"/>
    <col min="6" max="6" width="9.00390625" style="103" customWidth="1"/>
    <col min="7" max="7" width="11.140625" style="18" customWidth="1"/>
    <col min="8" max="14" width="9.57421875" style="22" customWidth="1"/>
    <col min="15" max="15" width="9.57421875" style="244" customWidth="1"/>
    <col min="16" max="16" width="9.57421875" style="22" customWidth="1"/>
    <col min="17" max="18" width="9.57421875" style="103" customWidth="1"/>
    <col min="19" max="19" width="9.57421875" style="22" customWidth="1"/>
    <col min="20" max="20" width="9.00390625" style="4" customWidth="1"/>
    <col min="21" max="21" width="10.28125" style="4" bestFit="1" customWidth="1"/>
    <col min="22" max="16384" width="9.00390625" style="4" customWidth="1"/>
  </cols>
  <sheetData>
    <row r="1" spans="1:7" ht="18.75">
      <c r="A1" s="405" t="s">
        <v>80</v>
      </c>
      <c r="B1" s="405"/>
      <c r="C1" s="405"/>
      <c r="D1" s="405"/>
      <c r="E1" s="405"/>
      <c r="F1" s="405"/>
      <c r="G1" s="405"/>
    </row>
    <row r="2" spans="1:7" ht="18.75">
      <c r="A2" s="405" t="s">
        <v>21</v>
      </c>
      <c r="B2" s="405"/>
      <c r="C2" s="405"/>
      <c r="D2" s="405"/>
      <c r="E2" s="405"/>
      <c r="F2" s="405"/>
      <c r="G2" s="405"/>
    </row>
    <row r="3" spans="1:7" ht="18.75">
      <c r="A3" s="406" t="s">
        <v>194</v>
      </c>
      <c r="B3" s="406"/>
      <c r="C3" s="406"/>
      <c r="D3" s="406"/>
      <c r="E3" s="406"/>
      <c r="F3" s="406"/>
      <c r="G3" s="406"/>
    </row>
    <row r="4" spans="1:7" ht="18.75">
      <c r="A4" s="406" t="s">
        <v>341</v>
      </c>
      <c r="B4" s="406"/>
      <c r="C4" s="406"/>
      <c r="D4" s="406"/>
      <c r="E4" s="406"/>
      <c r="F4" s="406"/>
      <c r="G4" s="406"/>
    </row>
    <row r="5" spans="1:7" ht="18.75">
      <c r="A5" s="407"/>
      <c r="B5" s="407"/>
      <c r="C5" s="407"/>
      <c r="D5" s="407"/>
      <c r="E5" s="407"/>
      <c r="F5" s="407"/>
      <c r="G5" s="407"/>
    </row>
    <row r="6" spans="1:7" ht="18.75">
      <c r="A6" s="402" t="s">
        <v>22</v>
      </c>
      <c r="B6" s="403"/>
      <c r="C6" s="403"/>
      <c r="D6" s="404"/>
      <c r="E6" s="6"/>
      <c r="F6" s="201"/>
      <c r="G6" s="5" t="s">
        <v>23</v>
      </c>
    </row>
    <row r="7" spans="1:7" ht="18.75">
      <c r="A7" s="7" t="s">
        <v>24</v>
      </c>
      <c r="B7" s="7" t="s">
        <v>12</v>
      </c>
      <c r="C7" s="7" t="s">
        <v>17</v>
      </c>
      <c r="D7" s="7" t="s">
        <v>25</v>
      </c>
      <c r="E7" s="8" t="s">
        <v>19</v>
      </c>
      <c r="F7" s="202" t="s">
        <v>26</v>
      </c>
      <c r="G7" s="7" t="s">
        <v>25</v>
      </c>
    </row>
    <row r="8" spans="1:7" ht="18.75">
      <c r="A8" s="9" t="s">
        <v>27</v>
      </c>
      <c r="B8" s="186" t="s">
        <v>121</v>
      </c>
      <c r="C8" s="9" t="s">
        <v>110</v>
      </c>
      <c r="D8" s="9" t="s">
        <v>27</v>
      </c>
      <c r="E8" s="10"/>
      <c r="F8" s="203" t="s">
        <v>28</v>
      </c>
      <c r="G8" s="9" t="s">
        <v>27</v>
      </c>
    </row>
    <row r="9" spans="1:19" ht="18.75">
      <c r="A9" s="11"/>
      <c r="B9" s="11"/>
      <c r="C9" s="11"/>
      <c r="D9" s="234">
        <v>16038420.72</v>
      </c>
      <c r="E9" s="235" t="s">
        <v>20</v>
      </c>
      <c r="F9" s="30"/>
      <c r="G9" s="398">
        <v>18617447.84</v>
      </c>
      <c r="H9" s="151" t="s">
        <v>29</v>
      </c>
      <c r="I9" s="151" t="s">
        <v>30</v>
      </c>
      <c r="J9" s="151" t="s">
        <v>31</v>
      </c>
      <c r="K9" s="151" t="s">
        <v>32</v>
      </c>
      <c r="L9" s="151" t="s">
        <v>33</v>
      </c>
      <c r="M9" s="151" t="s">
        <v>34</v>
      </c>
      <c r="N9" s="151" t="s">
        <v>35</v>
      </c>
      <c r="O9" s="245" t="s">
        <v>36</v>
      </c>
      <c r="P9" s="151" t="s">
        <v>37</v>
      </c>
      <c r="Q9" s="152" t="s">
        <v>38</v>
      </c>
      <c r="R9" s="152" t="s">
        <v>39</v>
      </c>
      <c r="S9" s="151" t="s">
        <v>40</v>
      </c>
    </row>
    <row r="10" spans="1:19" ht="18.75">
      <c r="A10" s="12"/>
      <c r="B10" s="12"/>
      <c r="C10" s="12"/>
      <c r="D10" s="13"/>
      <c r="E10" s="199" t="s">
        <v>221</v>
      </c>
      <c r="F10" s="31"/>
      <c r="G10" s="13"/>
      <c r="H10" s="15"/>
      <c r="I10" s="15"/>
      <c r="J10" s="15"/>
      <c r="K10" s="15"/>
      <c r="L10" s="15"/>
      <c r="M10" s="15"/>
      <c r="N10" s="15"/>
      <c r="O10" s="246"/>
      <c r="P10" s="15"/>
      <c r="Q10" s="153"/>
      <c r="R10" s="153"/>
      <c r="S10" s="15"/>
    </row>
    <row r="11" spans="1:22" ht="18.75">
      <c r="A11" s="24">
        <v>580600</v>
      </c>
      <c r="B11" s="12"/>
      <c r="C11" s="24">
        <f>SUM(A11)</f>
        <v>580600</v>
      </c>
      <c r="D11" s="25">
        <f aca="true" t="shared" si="0" ref="D11:D17">SUM(H11:S11)</f>
        <v>613796</v>
      </c>
      <c r="E11" s="190" t="s">
        <v>41</v>
      </c>
      <c r="F11" s="31" t="s">
        <v>154</v>
      </c>
      <c r="G11" s="24">
        <f>SUM(O11)</f>
        <v>36086.79</v>
      </c>
      <c r="H11" s="15">
        <v>285.5</v>
      </c>
      <c r="I11" s="153">
        <v>150.87</v>
      </c>
      <c r="J11" s="153">
        <v>154.31</v>
      </c>
      <c r="K11" s="153">
        <v>12084.36</v>
      </c>
      <c r="L11" s="153">
        <v>43260.31</v>
      </c>
      <c r="M11" s="153">
        <v>29375.24</v>
      </c>
      <c r="N11" s="153">
        <v>492398.62</v>
      </c>
      <c r="O11" s="247">
        <v>36086.79</v>
      </c>
      <c r="P11" s="153"/>
      <c r="Q11" s="153"/>
      <c r="R11" s="153"/>
      <c r="S11" s="15"/>
      <c r="V11" s="128" t="s">
        <v>41</v>
      </c>
    </row>
    <row r="12" spans="1:22" ht="18.75">
      <c r="A12" s="24">
        <v>2251900</v>
      </c>
      <c r="B12" s="12"/>
      <c r="C12" s="24">
        <f>SUM(A12)</f>
        <v>2251900</v>
      </c>
      <c r="D12" s="25">
        <f t="shared" si="0"/>
        <v>2273925.4699999997</v>
      </c>
      <c r="E12" s="190" t="s">
        <v>42</v>
      </c>
      <c r="F12" s="31" t="s">
        <v>155</v>
      </c>
      <c r="G12" s="24">
        <f>SUM(O12)</f>
        <v>370775.12</v>
      </c>
      <c r="H12" s="15">
        <v>3220.9</v>
      </c>
      <c r="I12" s="153">
        <v>216159.9</v>
      </c>
      <c r="J12" s="153">
        <v>193125.95</v>
      </c>
      <c r="K12" s="153">
        <v>345350.95</v>
      </c>
      <c r="L12" s="153">
        <v>664457.3</v>
      </c>
      <c r="M12" s="153">
        <v>278449.7</v>
      </c>
      <c r="N12" s="153">
        <v>202385.65</v>
      </c>
      <c r="O12" s="247">
        <v>370775.12</v>
      </c>
      <c r="P12" s="153"/>
      <c r="Q12" s="153"/>
      <c r="R12" s="153"/>
      <c r="S12" s="15"/>
      <c r="V12" s="128" t="s">
        <v>42</v>
      </c>
    </row>
    <row r="13" spans="1:22" ht="18.75">
      <c r="A13" s="24">
        <v>120500</v>
      </c>
      <c r="B13" s="12"/>
      <c r="C13" s="24">
        <f aca="true" t="shared" si="1" ref="C13:C18">SUM(A13)</f>
        <v>120500</v>
      </c>
      <c r="D13" s="25">
        <f t="shared" si="0"/>
        <v>53274.4</v>
      </c>
      <c r="E13" s="190" t="s">
        <v>214</v>
      </c>
      <c r="F13" s="31" t="s">
        <v>156</v>
      </c>
      <c r="G13" s="24">
        <f aca="true" t="shared" si="2" ref="G13:G19">SUM(O13)</f>
        <v>0</v>
      </c>
      <c r="H13" s="15">
        <v>0</v>
      </c>
      <c r="I13" s="153"/>
      <c r="J13" s="153"/>
      <c r="K13" s="153">
        <v>38358.71</v>
      </c>
      <c r="L13" s="153">
        <v>0</v>
      </c>
      <c r="M13" s="153">
        <v>14915.69</v>
      </c>
      <c r="N13" s="153">
        <v>0</v>
      </c>
      <c r="O13" s="247">
        <v>0</v>
      </c>
      <c r="P13" s="153"/>
      <c r="Q13" s="153"/>
      <c r="R13" s="153"/>
      <c r="S13" s="15"/>
      <c r="V13" s="128" t="s">
        <v>43</v>
      </c>
    </row>
    <row r="14" spans="1:22" ht="18.75">
      <c r="A14" s="24">
        <v>450000</v>
      </c>
      <c r="B14" s="12"/>
      <c r="C14" s="24">
        <f t="shared" si="1"/>
        <v>450000</v>
      </c>
      <c r="D14" s="24">
        <f>SUM(H14:S14)</f>
        <v>298038</v>
      </c>
      <c r="E14" s="190" t="s">
        <v>44</v>
      </c>
      <c r="F14" s="31" t="s">
        <v>157</v>
      </c>
      <c r="G14" s="24">
        <f t="shared" si="2"/>
        <v>0</v>
      </c>
      <c r="H14" s="15">
        <v>0</v>
      </c>
      <c r="I14" s="153">
        <v>56412</v>
      </c>
      <c r="J14" s="153">
        <v>73934</v>
      </c>
      <c r="K14" s="153">
        <v>0</v>
      </c>
      <c r="L14" s="153">
        <v>74168</v>
      </c>
      <c r="M14" s="153">
        <v>0</v>
      </c>
      <c r="N14" s="153">
        <v>93524</v>
      </c>
      <c r="O14" s="247">
        <v>0</v>
      </c>
      <c r="P14" s="153"/>
      <c r="Q14" s="153"/>
      <c r="R14" s="153"/>
      <c r="S14" s="15"/>
      <c r="U14" s="14">
        <f>SUM(D14)</f>
        <v>298038</v>
      </c>
      <c r="V14" s="128" t="s">
        <v>44</v>
      </c>
    </row>
    <row r="15" spans="1:22" ht="18.75">
      <c r="A15" s="24">
        <v>330500</v>
      </c>
      <c r="B15" s="12"/>
      <c r="C15" s="24">
        <f t="shared" si="1"/>
        <v>330500</v>
      </c>
      <c r="D15" s="24">
        <f t="shared" si="0"/>
        <v>53463.95</v>
      </c>
      <c r="E15" s="190" t="s">
        <v>45</v>
      </c>
      <c r="F15" s="31" t="s">
        <v>158</v>
      </c>
      <c r="G15" s="24">
        <f t="shared" si="2"/>
        <v>0</v>
      </c>
      <c r="H15" s="15">
        <v>17099.76</v>
      </c>
      <c r="I15" s="153"/>
      <c r="J15" s="153">
        <v>7366.11</v>
      </c>
      <c r="K15" s="153">
        <v>10000</v>
      </c>
      <c r="L15" s="153">
        <v>0</v>
      </c>
      <c r="M15" s="153">
        <v>18998.08</v>
      </c>
      <c r="N15" s="153">
        <v>0</v>
      </c>
      <c r="O15" s="247">
        <v>0</v>
      </c>
      <c r="P15" s="153"/>
      <c r="Q15" s="153"/>
      <c r="R15" s="153"/>
      <c r="S15" s="15"/>
      <c r="V15" s="128" t="s">
        <v>45</v>
      </c>
    </row>
    <row r="16" spans="1:22" ht="18.75">
      <c r="A16" s="24">
        <v>4000</v>
      </c>
      <c r="B16" s="12"/>
      <c r="C16" s="24">
        <f t="shared" si="1"/>
        <v>4000</v>
      </c>
      <c r="D16" s="24">
        <f t="shared" si="0"/>
        <v>205</v>
      </c>
      <c r="E16" s="190" t="s">
        <v>115</v>
      </c>
      <c r="F16" s="31" t="s">
        <v>159</v>
      </c>
      <c r="G16" s="24">
        <f t="shared" si="2"/>
        <v>0</v>
      </c>
      <c r="H16" s="15">
        <v>205</v>
      </c>
      <c r="I16" s="153"/>
      <c r="J16" s="153"/>
      <c r="K16" s="153">
        <v>0</v>
      </c>
      <c r="L16" s="153">
        <v>0</v>
      </c>
      <c r="M16" s="153">
        <v>0</v>
      </c>
      <c r="N16" s="153">
        <v>0</v>
      </c>
      <c r="O16" s="247">
        <v>0</v>
      </c>
      <c r="P16" s="153"/>
      <c r="Q16" s="153"/>
      <c r="R16" s="153"/>
      <c r="S16" s="15"/>
      <c r="V16" s="128" t="s">
        <v>115</v>
      </c>
    </row>
    <row r="17" spans="1:22" ht="18.75">
      <c r="A17" s="24">
        <v>14181000</v>
      </c>
      <c r="B17" s="12"/>
      <c r="C17" s="24">
        <f t="shared" si="1"/>
        <v>14181000</v>
      </c>
      <c r="D17" s="24">
        <f t="shared" si="0"/>
        <v>10117344.26</v>
      </c>
      <c r="E17" s="190" t="s">
        <v>46</v>
      </c>
      <c r="F17" s="31" t="s">
        <v>160</v>
      </c>
      <c r="G17" s="24">
        <f t="shared" si="2"/>
        <v>1253109.6</v>
      </c>
      <c r="H17" s="15">
        <v>1195505.86</v>
      </c>
      <c r="I17" s="153">
        <v>1328963.31</v>
      </c>
      <c r="J17" s="153">
        <v>1322623.52</v>
      </c>
      <c r="K17" s="153">
        <v>1100773.98</v>
      </c>
      <c r="L17" s="153">
        <v>775704.3</v>
      </c>
      <c r="M17" s="153">
        <v>1816793.58</v>
      </c>
      <c r="N17" s="153">
        <v>1323870.11</v>
      </c>
      <c r="O17" s="247">
        <v>1253109.6</v>
      </c>
      <c r="P17" s="153"/>
      <c r="Q17" s="153"/>
      <c r="R17" s="153"/>
      <c r="S17" s="15"/>
      <c r="V17" s="128" t="s">
        <v>46</v>
      </c>
    </row>
    <row r="18" spans="1:22" ht="18.75">
      <c r="A18" s="24">
        <v>15000000</v>
      </c>
      <c r="B18" s="12"/>
      <c r="C18" s="24">
        <f t="shared" si="1"/>
        <v>15000000</v>
      </c>
      <c r="D18" s="24">
        <f>SUM(H18:S18)</f>
        <v>12556402</v>
      </c>
      <c r="E18" s="190" t="s">
        <v>47</v>
      </c>
      <c r="F18" s="31" t="s">
        <v>161</v>
      </c>
      <c r="G18" s="24">
        <f t="shared" si="2"/>
        <v>132210</v>
      </c>
      <c r="H18" s="15">
        <v>4658846</v>
      </c>
      <c r="I18" s="153"/>
      <c r="J18" s="153"/>
      <c r="K18" s="153">
        <v>3951654</v>
      </c>
      <c r="L18" s="153">
        <v>492164</v>
      </c>
      <c r="M18" s="153">
        <v>240000</v>
      </c>
      <c r="N18" s="15">
        <v>3081528</v>
      </c>
      <c r="O18" s="247">
        <v>132210</v>
      </c>
      <c r="P18" s="153"/>
      <c r="Q18" s="153"/>
      <c r="R18" s="153"/>
      <c r="S18" s="15"/>
      <c r="U18" s="16">
        <f>SUM(G20-1996432.07)</f>
        <v>-204250.56000000006</v>
      </c>
      <c r="V18" s="128" t="s">
        <v>47</v>
      </c>
    </row>
    <row r="19" spans="1:22" ht="18.75">
      <c r="A19" s="24"/>
      <c r="B19" s="12">
        <f>30700+4630000</f>
        <v>4660700</v>
      </c>
      <c r="C19" s="24">
        <f>SUM(B19)</f>
        <v>4660700</v>
      </c>
      <c r="D19" s="24">
        <v>0</v>
      </c>
      <c r="E19" s="190" t="s">
        <v>122</v>
      </c>
      <c r="F19" s="31" t="s">
        <v>162</v>
      </c>
      <c r="G19" s="24">
        <f t="shared" si="2"/>
        <v>0</v>
      </c>
      <c r="H19" s="15"/>
      <c r="I19" s="15"/>
      <c r="J19" s="15"/>
      <c r="K19" s="15">
        <v>30700</v>
      </c>
      <c r="L19" s="15"/>
      <c r="M19" s="15"/>
      <c r="N19" s="15">
        <v>4630000</v>
      </c>
      <c r="O19" s="246">
        <v>0</v>
      </c>
      <c r="P19" s="15"/>
      <c r="Q19" s="153"/>
      <c r="R19" s="153"/>
      <c r="S19" s="15"/>
      <c r="U19" s="16"/>
      <c r="V19" s="128" t="s">
        <v>122</v>
      </c>
    </row>
    <row r="20" spans="1:19" ht="19.5" thickBot="1">
      <c r="A20" s="26">
        <f>SUM(A9:A18)</f>
        <v>32918500</v>
      </c>
      <c r="B20" s="297">
        <f>SUM(B19)</f>
        <v>4660700</v>
      </c>
      <c r="C20" s="26">
        <f>SUM(C11:C19)</f>
        <v>37579200</v>
      </c>
      <c r="D20" s="301">
        <f>SUM(D11:D18)</f>
        <v>25966449.08</v>
      </c>
      <c r="E20" s="189"/>
      <c r="F20" s="31"/>
      <c r="G20" s="301">
        <f>SUM(G11+G12+G13+G14+G15+G16+G17+G18)</f>
        <v>1792181.51</v>
      </c>
      <c r="H20" s="151" t="s">
        <v>29</v>
      </c>
      <c r="I20" s="151" t="s">
        <v>30</v>
      </c>
      <c r="J20" s="151" t="s">
        <v>31</v>
      </c>
      <c r="K20" s="151" t="s">
        <v>32</v>
      </c>
      <c r="L20" s="151" t="s">
        <v>33</v>
      </c>
      <c r="M20" s="151" t="s">
        <v>34</v>
      </c>
      <c r="N20" s="151" t="s">
        <v>35</v>
      </c>
      <c r="O20" s="248" t="s">
        <v>36</v>
      </c>
      <c r="P20" s="151" t="s">
        <v>37</v>
      </c>
      <c r="Q20" s="152" t="s">
        <v>38</v>
      </c>
      <c r="R20" s="152" t="s">
        <v>39</v>
      </c>
      <c r="S20" s="151" t="s">
        <v>40</v>
      </c>
    </row>
    <row r="21" spans="1:22" ht="19.5" thickTop="1">
      <c r="A21" s="17"/>
      <c r="B21" s="17"/>
      <c r="C21" s="17"/>
      <c r="D21" s="13">
        <f>SUM(H21:S21)</f>
        <v>0</v>
      </c>
      <c r="E21" s="200" t="s">
        <v>101</v>
      </c>
      <c r="F21" s="130"/>
      <c r="G21" s="24">
        <f>SUM(N21)</f>
        <v>0</v>
      </c>
      <c r="H21" s="15">
        <v>0</v>
      </c>
      <c r="I21" s="15"/>
      <c r="J21" s="15"/>
      <c r="K21" s="15"/>
      <c r="L21" s="15"/>
      <c r="M21" s="15"/>
      <c r="N21" s="15"/>
      <c r="O21" s="246"/>
      <c r="P21" s="15"/>
      <c r="Q21" s="153"/>
      <c r="R21" s="153"/>
      <c r="S21" s="15"/>
      <c r="U21" s="16">
        <f>SUM(G20-1996432.07)-2089.65</f>
        <v>-206340.21000000005</v>
      </c>
      <c r="V21" s="200" t="s">
        <v>101</v>
      </c>
    </row>
    <row r="22" spans="1:22" ht="18.75">
      <c r="A22" s="17"/>
      <c r="B22" s="17"/>
      <c r="C22" s="17"/>
      <c r="D22" s="13">
        <f>SUM(H22:S22)</f>
        <v>6596000</v>
      </c>
      <c r="E22" s="200" t="s">
        <v>114</v>
      </c>
      <c r="F22" s="130" t="s">
        <v>134</v>
      </c>
      <c r="G22" s="24">
        <f>SUM(O22)</f>
        <v>996000</v>
      </c>
      <c r="H22" s="15">
        <v>0</v>
      </c>
      <c r="I22" s="15">
        <f>495000+1003126+79874</f>
        <v>1578000</v>
      </c>
      <c r="J22" s="15">
        <v>1247500</v>
      </c>
      <c r="K22" s="15">
        <f>1297192+996000</f>
        <v>2293192</v>
      </c>
      <c r="L22" s="15">
        <v>81308</v>
      </c>
      <c r="M22" s="15">
        <v>0</v>
      </c>
      <c r="N22" s="15">
        <v>400000</v>
      </c>
      <c r="O22" s="246">
        <v>996000</v>
      </c>
      <c r="P22" s="15"/>
      <c r="Q22" s="15"/>
      <c r="R22" s="15"/>
      <c r="S22" s="15"/>
      <c r="U22" s="16"/>
      <c r="V22" s="200" t="s">
        <v>114</v>
      </c>
    </row>
    <row r="23" spans="1:22" ht="18.75">
      <c r="A23" s="17"/>
      <c r="B23" s="17"/>
      <c r="C23" s="17"/>
      <c r="D23" s="13">
        <f>SUM(H23:S23)</f>
        <v>6677.25</v>
      </c>
      <c r="E23" s="200" t="s">
        <v>247</v>
      </c>
      <c r="F23" s="130" t="s">
        <v>205</v>
      </c>
      <c r="G23" s="24">
        <f aca="true" t="shared" si="3" ref="G23:G32">SUM(O23)</f>
        <v>0</v>
      </c>
      <c r="H23" s="15">
        <v>0</v>
      </c>
      <c r="I23" s="15">
        <v>0</v>
      </c>
      <c r="J23" s="15"/>
      <c r="K23" s="15">
        <v>0</v>
      </c>
      <c r="L23" s="15">
        <v>0</v>
      </c>
      <c r="M23" s="15">
        <v>6677.25</v>
      </c>
      <c r="N23" s="15" t="s">
        <v>198</v>
      </c>
      <c r="O23" s="246">
        <v>0</v>
      </c>
      <c r="P23" s="15"/>
      <c r="Q23" s="15"/>
      <c r="R23" s="15"/>
      <c r="S23" s="15"/>
      <c r="U23" s="16"/>
      <c r="V23" s="200" t="s">
        <v>247</v>
      </c>
    </row>
    <row r="24" spans="1:22" ht="18.75">
      <c r="A24" s="17"/>
      <c r="B24" s="17"/>
      <c r="C24" s="17"/>
      <c r="D24" s="13">
        <f>SUM(H24+I24+J24+K24+L24+M24+N24+O24+P24+Q24+R24+S24)</f>
        <v>265936</v>
      </c>
      <c r="E24" s="200" t="s">
        <v>218</v>
      </c>
      <c r="F24" s="130" t="s">
        <v>129</v>
      </c>
      <c r="G24" s="24">
        <f t="shared" si="3"/>
        <v>49536</v>
      </c>
      <c r="H24" s="15">
        <v>29640</v>
      </c>
      <c r="I24" s="15">
        <v>24780</v>
      </c>
      <c r="J24" s="15">
        <v>28826</v>
      </c>
      <c r="K24" s="15">
        <v>40126</v>
      </c>
      <c r="L24" s="15">
        <v>23278</v>
      </c>
      <c r="M24" s="15">
        <v>33350</v>
      </c>
      <c r="N24" s="15">
        <v>36400</v>
      </c>
      <c r="O24" s="246">
        <v>49536</v>
      </c>
      <c r="P24" s="15"/>
      <c r="Q24" s="15"/>
      <c r="R24" s="15"/>
      <c r="S24" s="15"/>
      <c r="V24" s="200" t="s">
        <v>218</v>
      </c>
    </row>
    <row r="25" spans="1:22" ht="18.75">
      <c r="A25" s="17"/>
      <c r="B25" s="17"/>
      <c r="C25" s="17"/>
      <c r="D25" s="13">
        <f>SUM(H25+I25+J25+K25+L25+M25+N25+O25+P25+Q25+R25+S25)</f>
        <v>85836.6</v>
      </c>
      <c r="E25" s="200" t="s">
        <v>222</v>
      </c>
      <c r="F25" s="130" t="s">
        <v>129</v>
      </c>
      <c r="G25" s="24">
        <f t="shared" si="3"/>
        <v>0</v>
      </c>
      <c r="H25" s="15">
        <v>45790.7</v>
      </c>
      <c r="I25" s="15">
        <v>40045.9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46">
        <v>0</v>
      </c>
      <c r="P25" s="15"/>
      <c r="Q25" s="15"/>
      <c r="R25" s="15"/>
      <c r="S25" s="15"/>
      <c r="V25" s="200" t="s">
        <v>222</v>
      </c>
    </row>
    <row r="26" spans="1:22" ht="18.75">
      <c r="A26" s="17"/>
      <c r="B26" s="17"/>
      <c r="C26" s="17"/>
      <c r="D26" s="13">
        <f>SUM(H26:S26)</f>
        <v>466869.06</v>
      </c>
      <c r="E26" s="200" t="s">
        <v>103</v>
      </c>
      <c r="F26" s="130" t="s">
        <v>163</v>
      </c>
      <c r="G26" s="24">
        <f t="shared" si="3"/>
        <v>123164.81</v>
      </c>
      <c r="H26" s="15" t="s">
        <v>198</v>
      </c>
      <c r="I26" s="15">
        <v>256000</v>
      </c>
      <c r="J26" s="15">
        <v>24000</v>
      </c>
      <c r="K26" s="15">
        <v>0</v>
      </c>
      <c r="L26" s="15">
        <f>7184.25+5620+6100+16000</f>
        <v>34904.25</v>
      </c>
      <c r="M26" s="15">
        <v>0</v>
      </c>
      <c r="N26" s="15">
        <f>6100+3900+18800</f>
        <v>28800</v>
      </c>
      <c r="O26" s="246">
        <v>123164.81</v>
      </c>
      <c r="P26" s="15"/>
      <c r="Q26" s="15"/>
      <c r="R26" s="15"/>
      <c r="S26" s="15"/>
      <c r="V26" s="200" t="s">
        <v>103</v>
      </c>
    </row>
    <row r="27" spans="1:22" ht="18.75">
      <c r="A27" s="17"/>
      <c r="B27" s="17"/>
      <c r="C27" s="17"/>
      <c r="D27" s="13">
        <f>SUM(H27:S27)</f>
        <v>0</v>
      </c>
      <c r="E27" s="200" t="s">
        <v>123</v>
      </c>
      <c r="F27" s="130" t="s">
        <v>133</v>
      </c>
      <c r="G27" s="24">
        <f t="shared" si="3"/>
        <v>0</v>
      </c>
      <c r="H27" s="15">
        <v>0</v>
      </c>
      <c r="I27" s="15"/>
      <c r="J27" s="15"/>
      <c r="K27" s="15">
        <v>0</v>
      </c>
      <c r="L27" s="15"/>
      <c r="M27" s="15">
        <v>0</v>
      </c>
      <c r="N27" s="15">
        <v>0</v>
      </c>
      <c r="O27" s="246">
        <v>0</v>
      </c>
      <c r="P27" s="15"/>
      <c r="Q27" s="15"/>
      <c r="R27" s="15"/>
      <c r="S27" s="15"/>
      <c r="V27" s="200" t="s">
        <v>123</v>
      </c>
    </row>
    <row r="28" spans="1:22" ht="18.75">
      <c r="A28" s="17"/>
      <c r="B28" s="17"/>
      <c r="C28" s="17"/>
      <c r="D28" s="13">
        <f>SUM(H28+I28+J28+K28+L28+M28+N28+O28+P28+Q28+R28+S28)</f>
        <v>529552.8</v>
      </c>
      <c r="E28" s="200" t="s">
        <v>234</v>
      </c>
      <c r="F28" s="130" t="s">
        <v>219</v>
      </c>
      <c r="G28" s="24">
        <f t="shared" si="3"/>
        <v>38737.94</v>
      </c>
      <c r="H28" s="15">
        <v>15382.79</v>
      </c>
      <c r="I28" s="15">
        <v>77274.5</v>
      </c>
      <c r="J28" s="15">
        <v>87985.99</v>
      </c>
      <c r="K28" s="15">
        <v>61649.43</v>
      </c>
      <c r="L28" s="15">
        <v>98360.14</v>
      </c>
      <c r="M28" s="15">
        <v>54523.53</v>
      </c>
      <c r="N28" s="15">
        <v>95638.48</v>
      </c>
      <c r="O28" s="246">
        <f>38307.94+430</f>
        <v>38737.94</v>
      </c>
      <c r="P28" s="15"/>
      <c r="Q28" s="15"/>
      <c r="R28" s="15"/>
      <c r="S28" s="15"/>
      <c r="V28" s="200" t="s">
        <v>234</v>
      </c>
    </row>
    <row r="29" spans="1:22" ht="18.75">
      <c r="A29" s="17"/>
      <c r="B29" s="17"/>
      <c r="C29" s="17"/>
      <c r="D29" s="13">
        <f>SUM(H29+I29+J29+K29+L29+M29+N29+O29+P29+Q29+R29+S29)</f>
        <v>49582</v>
      </c>
      <c r="E29" s="200" t="s">
        <v>273</v>
      </c>
      <c r="F29" s="130" t="s">
        <v>274</v>
      </c>
      <c r="G29" s="24">
        <f t="shared" si="3"/>
        <v>0</v>
      </c>
      <c r="H29" s="15"/>
      <c r="I29" s="15"/>
      <c r="J29" s="15">
        <v>13728</v>
      </c>
      <c r="K29" s="15">
        <v>35854</v>
      </c>
      <c r="L29" s="15">
        <v>0</v>
      </c>
      <c r="M29" s="15">
        <v>0</v>
      </c>
      <c r="N29" s="15">
        <v>0</v>
      </c>
      <c r="O29" s="246">
        <v>0</v>
      </c>
      <c r="P29" s="15"/>
      <c r="Q29" s="15"/>
      <c r="R29" s="15"/>
      <c r="S29" s="15"/>
      <c r="V29" s="200"/>
    </row>
    <row r="30" spans="1:22" ht="18.75">
      <c r="A30" s="17"/>
      <c r="B30" s="17"/>
      <c r="C30" s="17"/>
      <c r="D30" s="13">
        <f>SUM(H30+I30+J30+K30+L30+M30+N30+O30+P30+Q30+R30+S30)</f>
        <v>25116.46</v>
      </c>
      <c r="E30" s="200" t="s">
        <v>48</v>
      </c>
      <c r="F30" s="130" t="s">
        <v>128</v>
      </c>
      <c r="G30" s="24">
        <f t="shared" si="3"/>
        <v>1000</v>
      </c>
      <c r="H30" s="15">
        <v>1000</v>
      </c>
      <c r="I30" s="15">
        <v>1840</v>
      </c>
      <c r="J30" s="15">
        <v>1000</v>
      </c>
      <c r="K30" s="15">
        <v>1000</v>
      </c>
      <c r="L30" s="15">
        <v>17276.46</v>
      </c>
      <c r="M30" s="15">
        <v>1000</v>
      </c>
      <c r="N30" s="15">
        <v>1000</v>
      </c>
      <c r="O30" s="246">
        <v>1000</v>
      </c>
      <c r="P30" s="15"/>
      <c r="Q30" s="15"/>
      <c r="R30" s="15"/>
      <c r="S30" s="15"/>
      <c r="V30" s="200" t="s">
        <v>48</v>
      </c>
    </row>
    <row r="31" spans="1:22" ht="18.75">
      <c r="A31" s="17"/>
      <c r="B31" s="17"/>
      <c r="C31" s="17"/>
      <c r="D31" s="13">
        <f>SUM(H31+I31+J31+K31+L31+M31+N31+O31+P31+Q31+R31+S31)</f>
        <v>529.44</v>
      </c>
      <c r="E31" s="200" t="s">
        <v>99</v>
      </c>
      <c r="F31" s="130" t="s">
        <v>146</v>
      </c>
      <c r="G31" s="24">
        <f t="shared" si="3"/>
        <v>0</v>
      </c>
      <c r="H31" s="15"/>
      <c r="I31" s="15"/>
      <c r="J31" s="15"/>
      <c r="K31" s="15"/>
      <c r="L31" s="15">
        <v>529.44</v>
      </c>
      <c r="M31" s="15">
        <v>0</v>
      </c>
      <c r="N31" s="15">
        <v>0</v>
      </c>
      <c r="O31" s="246">
        <v>0</v>
      </c>
      <c r="P31" s="15"/>
      <c r="Q31" s="15"/>
      <c r="R31" s="15"/>
      <c r="S31" s="15"/>
      <c r="V31" s="129"/>
    </row>
    <row r="32" spans="1:22" ht="18.75">
      <c r="A32" s="17"/>
      <c r="B32" s="17"/>
      <c r="C32" s="17"/>
      <c r="D32" s="13"/>
      <c r="E32" s="200"/>
      <c r="F32" s="130"/>
      <c r="G32" s="24">
        <f t="shared" si="3"/>
        <v>0</v>
      </c>
      <c r="H32" s="15"/>
      <c r="I32" s="15"/>
      <c r="J32" s="15"/>
      <c r="K32" s="15"/>
      <c r="L32" s="15"/>
      <c r="M32" s="15"/>
      <c r="N32" s="15"/>
      <c r="O32" s="246"/>
      <c r="P32" s="15"/>
      <c r="Q32" s="15"/>
      <c r="R32" s="15"/>
      <c r="S32" s="15"/>
      <c r="V32" s="129" t="s">
        <v>118</v>
      </c>
    </row>
    <row r="33" spans="1:19" ht="18.75">
      <c r="A33" s="17"/>
      <c r="B33" s="17"/>
      <c r="C33" s="17"/>
      <c r="D33" s="19">
        <f>SUM(D21:D32)</f>
        <v>8026099.609999999</v>
      </c>
      <c r="E33" s="4"/>
      <c r="F33" s="32"/>
      <c r="G33" s="314">
        <f>SUM(G21:G32)</f>
        <v>1208438.75</v>
      </c>
      <c r="H33" s="15"/>
      <c r="I33" s="15"/>
      <c r="J33" s="15"/>
      <c r="K33" s="15"/>
      <c r="L33" s="15"/>
      <c r="M33" s="15"/>
      <c r="N33" s="15"/>
      <c r="O33" s="246"/>
      <c r="P33" s="15"/>
      <c r="Q33" s="154"/>
      <c r="R33" s="154"/>
      <c r="S33" s="15"/>
    </row>
    <row r="34" spans="1:21" ht="18.75">
      <c r="A34" s="17"/>
      <c r="B34" s="17"/>
      <c r="C34" s="17"/>
      <c r="D34" s="99">
        <f>SUM(D20+D33)</f>
        <v>33992548.69</v>
      </c>
      <c r="E34" s="197" t="s">
        <v>49</v>
      </c>
      <c r="F34" s="33"/>
      <c r="G34" s="108">
        <f>SUM(G20+G33)</f>
        <v>3000620.26</v>
      </c>
      <c r="I34" s="22">
        <f>SUM(G34-G20)</f>
        <v>1208438.7499999998</v>
      </c>
      <c r="K34" s="22">
        <f>2390510.73-2385045.02</f>
        <v>5465.709999999963</v>
      </c>
      <c r="L34" s="22">
        <f>SUM(4703890.19-4707594.58)</f>
        <v>-3704.3899999996647</v>
      </c>
      <c r="M34" s="22">
        <f>G34-963731.82</f>
        <v>2036888.44</v>
      </c>
      <c r="O34" s="244">
        <f>SUM(G34-1854059.49)</f>
        <v>1146560.7699999998</v>
      </c>
      <c r="P34" s="22">
        <f>1234678.53-1234267.29</f>
        <v>411.2399999999907</v>
      </c>
      <c r="U34" s="16">
        <f>SUM(G34-2089058.65)</f>
        <v>911561.6099999999</v>
      </c>
    </row>
    <row r="35" spans="1:21" ht="18.75">
      <c r="A35" s="17"/>
      <c r="B35" s="17"/>
      <c r="C35" s="17"/>
      <c r="D35" s="21"/>
      <c r="E35" s="20"/>
      <c r="F35" s="33"/>
      <c r="G35" s="21"/>
      <c r="U35" s="16"/>
    </row>
    <row r="36" spans="1:21" ht="18.75">
      <c r="A36" s="17"/>
      <c r="B36" s="17"/>
      <c r="C36" s="17"/>
      <c r="D36" s="21"/>
      <c r="E36" s="20"/>
      <c r="F36" s="33"/>
      <c r="G36" s="21"/>
      <c r="U36" s="16"/>
    </row>
    <row r="37" spans="1:21" ht="18.75">
      <c r="A37" s="17"/>
      <c r="B37" s="17"/>
      <c r="C37" s="17"/>
      <c r="D37" s="21"/>
      <c r="E37" s="20"/>
      <c r="F37" s="33"/>
      <c r="G37" s="21"/>
      <c r="U37" s="16"/>
    </row>
    <row r="38" spans="1:21" ht="18.75">
      <c r="A38" s="17"/>
      <c r="B38" s="17"/>
      <c r="C38" s="17"/>
      <c r="D38" s="21"/>
      <c r="E38" s="20"/>
      <c r="F38" s="33"/>
      <c r="G38" s="21"/>
      <c r="U38" s="16"/>
    </row>
    <row r="39" spans="1:21" ht="18.75">
      <c r="A39" s="17"/>
      <c r="B39" s="17"/>
      <c r="C39" s="17"/>
      <c r="D39" s="21"/>
      <c r="E39" s="20"/>
      <c r="F39" s="33"/>
      <c r="G39" s="21"/>
      <c r="U39" s="16"/>
    </row>
    <row r="40" spans="1:21" ht="18.75">
      <c r="A40" s="17"/>
      <c r="B40" s="17"/>
      <c r="C40" s="17"/>
      <c r="D40" s="21"/>
      <c r="E40" s="20"/>
      <c r="F40" s="33"/>
      <c r="G40" s="109" t="s">
        <v>168</v>
      </c>
      <c r="U40" s="16"/>
    </row>
    <row r="41" spans="1:21" s="35" customFormat="1" ht="18.75">
      <c r="A41" s="402" t="s">
        <v>22</v>
      </c>
      <c r="B41" s="403"/>
      <c r="C41" s="403"/>
      <c r="D41" s="404"/>
      <c r="E41" s="34"/>
      <c r="F41" s="27"/>
      <c r="G41" s="5" t="s">
        <v>23</v>
      </c>
      <c r="H41" s="155"/>
      <c r="I41" s="155"/>
      <c r="J41" s="155"/>
      <c r="K41" s="155"/>
      <c r="L41" s="155"/>
      <c r="M41" s="155"/>
      <c r="N41" s="155"/>
      <c r="O41" s="244"/>
      <c r="P41" s="155"/>
      <c r="Q41" s="50"/>
      <c r="R41" s="50"/>
      <c r="S41" s="155"/>
      <c r="U41" s="36">
        <f>SUM(U34-22693)</f>
        <v>888868.6099999999</v>
      </c>
    </row>
    <row r="42" spans="1:19" s="35" customFormat="1" ht="18.75">
      <c r="A42" s="7" t="s">
        <v>24</v>
      </c>
      <c r="B42" s="7" t="s">
        <v>12</v>
      </c>
      <c r="C42" s="7" t="s">
        <v>17</v>
      </c>
      <c r="D42" s="7" t="s">
        <v>25</v>
      </c>
      <c r="E42" s="8" t="s">
        <v>19</v>
      </c>
      <c r="F42" s="28" t="s">
        <v>26</v>
      </c>
      <c r="G42" s="7" t="s">
        <v>25</v>
      </c>
      <c r="H42" s="151" t="s">
        <v>29</v>
      </c>
      <c r="I42" s="151" t="s">
        <v>30</v>
      </c>
      <c r="J42" s="151" t="s">
        <v>31</v>
      </c>
      <c r="K42" s="151" t="s">
        <v>32</v>
      </c>
      <c r="L42" s="151" t="s">
        <v>33</v>
      </c>
      <c r="M42" s="151" t="s">
        <v>34</v>
      </c>
      <c r="N42" s="151" t="s">
        <v>35</v>
      </c>
      <c r="O42" s="245" t="s">
        <v>36</v>
      </c>
      <c r="P42" s="151" t="s">
        <v>37</v>
      </c>
      <c r="Q42" s="152" t="s">
        <v>38</v>
      </c>
      <c r="R42" s="152" t="s">
        <v>39</v>
      </c>
      <c r="S42" s="151" t="s">
        <v>40</v>
      </c>
    </row>
    <row r="43" spans="1:21" s="35" customFormat="1" ht="18.75">
      <c r="A43" s="9" t="s">
        <v>27</v>
      </c>
      <c r="B43" s="9" t="s">
        <v>121</v>
      </c>
      <c r="C43" s="9" t="s">
        <v>110</v>
      </c>
      <c r="D43" s="9" t="s">
        <v>27</v>
      </c>
      <c r="E43" s="37"/>
      <c r="F43" s="29" t="s">
        <v>28</v>
      </c>
      <c r="G43" s="9" t="s">
        <v>27</v>
      </c>
      <c r="H43" s="155"/>
      <c r="I43" s="155"/>
      <c r="J43" s="155"/>
      <c r="K43" s="155"/>
      <c r="L43" s="155"/>
      <c r="M43" s="155"/>
      <c r="N43" s="155"/>
      <c r="O43" s="249"/>
      <c r="P43" s="155"/>
      <c r="Q43" s="50"/>
      <c r="R43" s="50"/>
      <c r="S43" s="155"/>
      <c r="U43" s="36">
        <f>SUM(U41-4068.41)</f>
        <v>884800.1999999998</v>
      </c>
    </row>
    <row r="44" spans="1:19" s="35" customFormat="1" ht="18" customHeight="1">
      <c r="A44" s="38"/>
      <c r="B44" s="38"/>
      <c r="C44" s="38"/>
      <c r="D44" s="38"/>
      <c r="E44" s="188" t="s">
        <v>50</v>
      </c>
      <c r="F44" s="30"/>
      <c r="G44" s="105"/>
      <c r="H44" s="155"/>
      <c r="I44" s="155" t="s">
        <v>51</v>
      </c>
      <c r="J44" s="155"/>
      <c r="K44" s="155"/>
      <c r="L44" s="155"/>
      <c r="M44" s="155"/>
      <c r="N44" s="155"/>
      <c r="O44" s="249"/>
      <c r="P44" s="155"/>
      <c r="Q44" s="50"/>
      <c r="R44" s="50"/>
      <c r="S44" s="155"/>
    </row>
    <row r="45" spans="1:22" s="35" customFormat="1" ht="18" customHeight="1">
      <c r="A45" s="104">
        <v>139086</v>
      </c>
      <c r="B45" s="104"/>
      <c r="C45" s="104">
        <f aca="true" t="shared" si="4" ref="C45:C51">SUM(D45)</f>
        <v>84372</v>
      </c>
      <c r="D45" s="104">
        <f aca="true" t="shared" si="5" ref="D45:D55">SUM(H45+I45+J45+K45+L45+M45+N45+O45+P45+Q45+R45+S45)</f>
        <v>84372</v>
      </c>
      <c r="E45" s="189" t="s">
        <v>209</v>
      </c>
      <c r="F45" s="31" t="s">
        <v>215</v>
      </c>
      <c r="G45" s="24">
        <f aca="true" t="shared" si="6" ref="G45:G63">SUM(O45)</f>
        <v>10734</v>
      </c>
      <c r="H45" s="45">
        <v>0</v>
      </c>
      <c r="I45" s="45">
        <v>10234</v>
      </c>
      <c r="J45" s="45">
        <v>21468</v>
      </c>
      <c r="K45" s="45"/>
      <c r="L45" s="45">
        <f>10734+10734</f>
        <v>21468</v>
      </c>
      <c r="M45" s="45">
        <v>10234</v>
      </c>
      <c r="N45" s="45">
        <v>10234</v>
      </c>
      <c r="O45" s="250">
        <v>10734</v>
      </c>
      <c r="P45" s="45"/>
      <c r="Q45" s="45"/>
      <c r="R45" s="45"/>
      <c r="S45" s="45"/>
      <c r="U45" s="35">
        <v>95476</v>
      </c>
      <c r="V45" s="253" t="s">
        <v>209</v>
      </c>
    </row>
    <row r="46" spans="1:22" s="35" customFormat="1" ht="18" customHeight="1">
      <c r="A46" s="104">
        <v>10000</v>
      </c>
      <c r="B46" s="104"/>
      <c r="C46" s="104">
        <f>SUM(D46)</f>
        <v>5100</v>
      </c>
      <c r="D46" s="104">
        <f t="shared" si="5"/>
        <v>5100</v>
      </c>
      <c r="E46" s="189" t="s">
        <v>275</v>
      </c>
      <c r="F46" s="31" t="s">
        <v>215</v>
      </c>
      <c r="G46" s="24">
        <f t="shared" si="6"/>
        <v>0</v>
      </c>
      <c r="H46" s="45"/>
      <c r="I46" s="45"/>
      <c r="J46" s="45"/>
      <c r="K46" s="45">
        <v>5100</v>
      </c>
      <c r="L46" s="45">
        <v>0</v>
      </c>
      <c r="M46" s="45">
        <v>0</v>
      </c>
      <c r="N46" s="45">
        <v>0</v>
      </c>
      <c r="O46" s="250">
        <v>0</v>
      </c>
      <c r="P46" s="45"/>
      <c r="Q46" s="45"/>
      <c r="R46" s="45"/>
      <c r="S46" s="45"/>
      <c r="V46" s="253"/>
    </row>
    <row r="47" spans="1:22" s="35" customFormat="1" ht="18" customHeight="1">
      <c r="A47" s="104">
        <f>5950000-100000-100000-89800</f>
        <v>5660200</v>
      </c>
      <c r="B47" s="104"/>
      <c r="C47" s="104">
        <f t="shared" si="4"/>
        <v>3691400</v>
      </c>
      <c r="D47" s="104">
        <f t="shared" si="5"/>
        <v>3691400</v>
      </c>
      <c r="E47" s="189" t="s">
        <v>253</v>
      </c>
      <c r="F47" s="31" t="s">
        <v>215</v>
      </c>
      <c r="G47" s="24">
        <f t="shared" si="6"/>
        <v>458900</v>
      </c>
      <c r="H47" s="45">
        <v>463800</v>
      </c>
      <c r="I47" s="45">
        <v>463100</v>
      </c>
      <c r="J47" s="45">
        <v>462000</v>
      </c>
      <c r="K47" s="45">
        <v>462400</v>
      </c>
      <c r="L47" s="45">
        <v>461300</v>
      </c>
      <c r="M47" s="45">
        <v>460900</v>
      </c>
      <c r="N47" s="45">
        <v>459000</v>
      </c>
      <c r="O47" s="250">
        <v>458900</v>
      </c>
      <c r="P47" s="45"/>
      <c r="Q47" s="45"/>
      <c r="R47" s="45"/>
      <c r="S47" s="45"/>
      <c r="U47" s="35">
        <v>4206400</v>
      </c>
      <c r="V47" s="253" t="s">
        <v>253</v>
      </c>
    </row>
    <row r="48" spans="1:22" s="35" customFormat="1" ht="18" customHeight="1">
      <c r="A48" s="104">
        <f>1294000-50000-50000</f>
        <v>1194000</v>
      </c>
      <c r="B48" s="104"/>
      <c r="C48" s="104">
        <f t="shared" si="4"/>
        <v>730400</v>
      </c>
      <c r="D48" s="104">
        <f t="shared" si="5"/>
        <v>730400</v>
      </c>
      <c r="E48" s="189" t="s">
        <v>211</v>
      </c>
      <c r="F48" s="31" t="s">
        <v>215</v>
      </c>
      <c r="G48" s="24">
        <f t="shared" si="6"/>
        <v>96000</v>
      </c>
      <c r="H48" s="45">
        <v>88800</v>
      </c>
      <c r="I48" s="45">
        <v>88000</v>
      </c>
      <c r="J48" s="45">
        <v>89600</v>
      </c>
      <c r="K48" s="45">
        <v>90400</v>
      </c>
      <c r="L48" s="45">
        <v>91200</v>
      </c>
      <c r="M48" s="45">
        <v>92000</v>
      </c>
      <c r="N48" s="45">
        <v>94400</v>
      </c>
      <c r="O48" s="250">
        <v>96000</v>
      </c>
      <c r="P48" s="45"/>
      <c r="Q48" s="45"/>
      <c r="R48" s="45"/>
      <c r="S48" s="45"/>
      <c r="U48" s="35">
        <v>841600</v>
      </c>
      <c r="V48" s="253" t="s">
        <v>211</v>
      </c>
    </row>
    <row r="49" spans="1:22" s="35" customFormat="1" ht="18" customHeight="1">
      <c r="A49" s="104">
        <v>30000</v>
      </c>
      <c r="B49" s="104"/>
      <c r="C49" s="104">
        <f t="shared" si="4"/>
        <v>8000</v>
      </c>
      <c r="D49" s="104">
        <f t="shared" si="5"/>
        <v>8000</v>
      </c>
      <c r="E49" s="189" t="s">
        <v>210</v>
      </c>
      <c r="F49" s="31" t="s">
        <v>215</v>
      </c>
      <c r="G49" s="24">
        <f t="shared" si="6"/>
        <v>1000</v>
      </c>
      <c r="H49" s="45">
        <v>1000</v>
      </c>
      <c r="I49" s="45">
        <v>1000</v>
      </c>
      <c r="J49" s="45">
        <v>1000</v>
      </c>
      <c r="K49" s="45">
        <v>1000</v>
      </c>
      <c r="L49" s="45">
        <v>1000</v>
      </c>
      <c r="M49" s="45">
        <v>1000</v>
      </c>
      <c r="N49" s="45">
        <v>1000</v>
      </c>
      <c r="O49" s="250">
        <v>1000</v>
      </c>
      <c r="P49" s="45"/>
      <c r="Q49" s="45"/>
      <c r="R49" s="45"/>
      <c r="S49" s="45"/>
      <c r="U49" s="35">
        <v>10000</v>
      </c>
      <c r="V49" s="253" t="s">
        <v>210</v>
      </c>
    </row>
    <row r="50" spans="1:22" s="397" customFormat="1" ht="18" customHeight="1">
      <c r="A50" s="104">
        <f>300000-30000-10000-20000-5000-9000-50000</f>
        <v>176000</v>
      </c>
      <c r="B50" s="104"/>
      <c r="C50" s="104">
        <f t="shared" si="4"/>
        <v>158750</v>
      </c>
      <c r="D50" s="104">
        <f>SUM(H50+I50+J50+K50+L50+M50+N50+O50+P50+Q50+R50+S50)</f>
        <v>158750</v>
      </c>
      <c r="E50" s="189" t="s">
        <v>208</v>
      </c>
      <c r="F50" s="31" t="s">
        <v>215</v>
      </c>
      <c r="G50" s="24">
        <f t="shared" si="6"/>
        <v>0</v>
      </c>
      <c r="H50" s="395"/>
      <c r="I50" s="395">
        <v>2660</v>
      </c>
      <c r="J50" s="395">
        <v>152880</v>
      </c>
      <c r="K50" s="395">
        <v>0</v>
      </c>
      <c r="L50" s="395">
        <v>1750</v>
      </c>
      <c r="M50" s="395">
        <v>1460</v>
      </c>
      <c r="N50" s="395">
        <v>0</v>
      </c>
      <c r="O50" s="396">
        <v>0</v>
      </c>
      <c r="P50" s="395"/>
      <c r="Q50" s="395"/>
      <c r="R50" s="395"/>
      <c r="S50" s="395"/>
      <c r="T50" s="400">
        <f>SUM(D48:D50)</f>
        <v>897150</v>
      </c>
      <c r="U50" s="397">
        <v>236670</v>
      </c>
      <c r="V50" s="401" t="s">
        <v>208</v>
      </c>
    </row>
    <row r="51" spans="1:22" s="35" customFormat="1" ht="18" customHeight="1">
      <c r="A51" s="104">
        <f>30559+98000+50000+1300-30000-2400</f>
        <v>147459</v>
      </c>
      <c r="B51" s="104"/>
      <c r="C51" s="104">
        <f t="shared" si="4"/>
        <v>127391.41</v>
      </c>
      <c r="D51" s="104">
        <f t="shared" si="5"/>
        <v>127391.41</v>
      </c>
      <c r="E51" s="189" t="s">
        <v>207</v>
      </c>
      <c r="F51" s="31" t="s">
        <v>215</v>
      </c>
      <c r="G51" s="24">
        <f t="shared" si="6"/>
        <v>0</v>
      </c>
      <c r="H51" s="45"/>
      <c r="I51" s="45"/>
      <c r="J51" s="45">
        <v>127391.41</v>
      </c>
      <c r="K51" s="45">
        <v>0</v>
      </c>
      <c r="L51" s="45">
        <v>0</v>
      </c>
      <c r="M51" s="45">
        <v>0</v>
      </c>
      <c r="N51" s="45">
        <v>0</v>
      </c>
      <c r="O51" s="250">
        <v>0</v>
      </c>
      <c r="P51" s="45"/>
      <c r="Q51" s="45"/>
      <c r="R51" s="45"/>
      <c r="S51" s="45"/>
      <c r="U51" s="35">
        <v>118441.9</v>
      </c>
      <c r="V51" s="253" t="s">
        <v>207</v>
      </c>
    </row>
    <row r="52" spans="1:22" s="35" customFormat="1" ht="18" customHeight="1">
      <c r="A52" s="104">
        <v>358360</v>
      </c>
      <c r="B52" s="104"/>
      <c r="C52" s="104">
        <f>SUM(D52)</f>
        <v>358360</v>
      </c>
      <c r="D52" s="104">
        <f t="shared" si="5"/>
        <v>358360</v>
      </c>
      <c r="E52" s="190" t="s">
        <v>206</v>
      </c>
      <c r="F52" s="31" t="s">
        <v>215</v>
      </c>
      <c r="G52" s="24">
        <f t="shared" si="6"/>
        <v>0</v>
      </c>
      <c r="H52" s="45"/>
      <c r="I52" s="45"/>
      <c r="J52" s="45">
        <v>358360</v>
      </c>
      <c r="K52" s="45">
        <v>0</v>
      </c>
      <c r="L52" s="45">
        <v>0</v>
      </c>
      <c r="M52" s="45">
        <v>0</v>
      </c>
      <c r="N52" s="45">
        <v>0</v>
      </c>
      <c r="O52" s="250">
        <v>0</v>
      </c>
      <c r="P52" s="45"/>
      <c r="Q52" s="45"/>
      <c r="R52" s="45"/>
      <c r="S52" s="45"/>
      <c r="U52" s="35">
        <v>305640</v>
      </c>
      <c r="V52" s="254" t="s">
        <v>206</v>
      </c>
    </row>
    <row r="53" spans="1:22" s="35" customFormat="1" ht="18" customHeight="1">
      <c r="A53" s="104">
        <v>2624640</v>
      </c>
      <c r="B53" s="104"/>
      <c r="C53" s="104">
        <f aca="true" t="shared" si="7" ref="C53:C61">SUM(D53)</f>
        <v>1749760</v>
      </c>
      <c r="D53" s="104">
        <f t="shared" si="5"/>
        <v>1749760</v>
      </c>
      <c r="E53" s="190" t="s">
        <v>58</v>
      </c>
      <c r="F53" s="31" t="s">
        <v>136</v>
      </c>
      <c r="G53" s="24">
        <f t="shared" si="6"/>
        <v>218720</v>
      </c>
      <c r="H53" s="45">
        <v>218720</v>
      </c>
      <c r="I53" s="45">
        <v>218720</v>
      </c>
      <c r="J53" s="45">
        <v>218720</v>
      </c>
      <c r="K53" s="45">
        <v>218720</v>
      </c>
      <c r="L53" s="45">
        <v>218720</v>
      </c>
      <c r="M53" s="45">
        <v>218720</v>
      </c>
      <c r="N53" s="45">
        <v>218720</v>
      </c>
      <c r="O53" s="250">
        <v>218720</v>
      </c>
      <c r="P53" s="45"/>
      <c r="Q53" s="45"/>
      <c r="R53" s="45"/>
      <c r="S53" s="45"/>
      <c r="T53" s="35" t="s">
        <v>57</v>
      </c>
      <c r="U53" s="36">
        <f>SUM(U44:U52)</f>
        <v>5814227.9</v>
      </c>
      <c r="V53" s="254" t="s">
        <v>58</v>
      </c>
    </row>
    <row r="54" spans="1:22" s="397" customFormat="1" ht="18" customHeight="1">
      <c r="A54" s="104">
        <f>7932560-77900-20000-100000+10000-16000</f>
        <v>7728660</v>
      </c>
      <c r="B54" s="104"/>
      <c r="C54" s="104">
        <f t="shared" si="7"/>
        <v>5134679</v>
      </c>
      <c r="D54" s="104">
        <f t="shared" si="5"/>
        <v>5134679</v>
      </c>
      <c r="E54" s="189" t="s">
        <v>59</v>
      </c>
      <c r="F54" s="31" t="s">
        <v>137</v>
      </c>
      <c r="G54" s="24">
        <f t="shared" si="6"/>
        <v>653310</v>
      </c>
      <c r="H54" s="395">
        <f>370690+41920+208730</f>
        <v>621340</v>
      </c>
      <c r="I54" s="395">
        <v>639639</v>
      </c>
      <c r="J54" s="395">
        <f>386120+41920+218730</f>
        <v>646770</v>
      </c>
      <c r="K54" s="395">
        <v>646770</v>
      </c>
      <c r="L54" s="395">
        <v>646770</v>
      </c>
      <c r="M54" s="395">
        <v>636770</v>
      </c>
      <c r="N54" s="395">
        <v>643310</v>
      </c>
      <c r="O54" s="396">
        <f>391990+42590+218730</f>
        <v>653310</v>
      </c>
      <c r="P54" s="395"/>
      <c r="Q54" s="395"/>
      <c r="R54" s="395"/>
      <c r="S54" s="395"/>
      <c r="V54" s="401" t="s">
        <v>59</v>
      </c>
    </row>
    <row r="55" spans="1:22" s="35" customFormat="1" ht="18" customHeight="1">
      <c r="A55" s="104">
        <f>503500-15000-5800-5000</f>
        <v>477700</v>
      </c>
      <c r="B55" s="104"/>
      <c r="C55" s="104">
        <f t="shared" si="7"/>
        <v>215190</v>
      </c>
      <c r="D55" s="104">
        <f t="shared" si="5"/>
        <v>215190</v>
      </c>
      <c r="E55" s="189" t="s">
        <v>8</v>
      </c>
      <c r="F55" s="31" t="s">
        <v>138</v>
      </c>
      <c r="G55" s="24">
        <f t="shared" si="6"/>
        <v>30300</v>
      </c>
      <c r="H55" s="45">
        <v>0</v>
      </c>
      <c r="I55" s="45">
        <v>27900</v>
      </c>
      <c r="J55" s="45">
        <v>24760</v>
      </c>
      <c r="K55" s="45">
        <v>33080</v>
      </c>
      <c r="L55" s="45">
        <v>31370</v>
      </c>
      <c r="M55" s="45">
        <v>35080</v>
      </c>
      <c r="N55" s="45">
        <v>32700</v>
      </c>
      <c r="O55" s="250">
        <v>30300</v>
      </c>
      <c r="P55" s="45"/>
      <c r="Q55" s="45"/>
      <c r="R55" s="45"/>
      <c r="S55" s="45"/>
      <c r="V55" s="253" t="s">
        <v>8</v>
      </c>
    </row>
    <row r="56" spans="1:22" s="397" customFormat="1" ht="18" customHeight="1">
      <c r="A56" s="104">
        <f>7225850-11300+10000-200000+260000-20000-5000-20000+50000-100000-30000-20000+200000-30000+40000-20000+20000-21000+89000+32000-30000-30000+210000-20000-13000-20000+131200+20000-25400-20000-30000-20000-8000+200000+150000-20000-6800-21400+18000-5000-30000-30000-10000+249800+30000-90000-8000+8000-16000+16000-1000+1000-25000+25000+30000+10000+20000+20000-10600+10600-10000-15000+15000+5000-18900-6400-6000-2900-2200-20000-20000+9000+50000+10000-100000+100000</f>
        <v>8096550</v>
      </c>
      <c r="B56" s="104"/>
      <c r="C56" s="104">
        <f>SUM(D56)</f>
        <v>6106868.899999999</v>
      </c>
      <c r="D56" s="104">
        <f aca="true" t="shared" si="8" ref="D56:D62">SUM(H56+I56+J56+K56+L56+M56+N56+O56+P56+Q56+R56+S56)</f>
        <v>6106868.899999999</v>
      </c>
      <c r="E56" s="191" t="s">
        <v>9</v>
      </c>
      <c r="F56" s="31" t="s">
        <v>139</v>
      </c>
      <c r="G56" s="24">
        <f t="shared" si="6"/>
        <v>727922.47</v>
      </c>
      <c r="H56" s="395">
        <v>63604.5</v>
      </c>
      <c r="I56" s="395">
        <v>1252409.34</v>
      </c>
      <c r="J56" s="395">
        <f>1125151.26+24000</f>
        <v>1149151.26</v>
      </c>
      <c r="K56" s="395">
        <v>585830.98</v>
      </c>
      <c r="L56" s="395">
        <v>676785.49</v>
      </c>
      <c r="M56" s="395">
        <v>562471.8</v>
      </c>
      <c r="N56" s="395">
        <v>1088693.06</v>
      </c>
      <c r="O56" s="396">
        <v>727922.47</v>
      </c>
      <c r="P56" s="395"/>
      <c r="Q56" s="395"/>
      <c r="R56" s="395"/>
      <c r="S56" s="395"/>
      <c r="V56" s="399" t="s">
        <v>9</v>
      </c>
    </row>
    <row r="57" spans="1:22" s="397" customFormat="1" ht="18" customHeight="1">
      <c r="A57" s="104">
        <f>2579095-30000-5000-20000-20000-10000-20000-20000-5000-5000-20000-25000-20000-2000-50000+30200-30000-20000-10000</f>
        <v>2297295</v>
      </c>
      <c r="B57" s="104"/>
      <c r="C57" s="104">
        <f t="shared" si="7"/>
        <v>1056900.16</v>
      </c>
      <c r="D57" s="104">
        <f t="shared" si="8"/>
        <v>1056900.16</v>
      </c>
      <c r="E57" s="191" t="s">
        <v>10</v>
      </c>
      <c r="F57" s="31" t="s">
        <v>140</v>
      </c>
      <c r="G57" s="24">
        <f t="shared" si="6"/>
        <v>323134.7</v>
      </c>
      <c r="H57" s="395">
        <v>0</v>
      </c>
      <c r="I57" s="395">
        <v>59343.76</v>
      </c>
      <c r="J57" s="395">
        <v>116222.2</v>
      </c>
      <c r="K57" s="395">
        <v>19237</v>
      </c>
      <c r="L57" s="395">
        <v>217740.3</v>
      </c>
      <c r="M57" s="395">
        <v>251367.2</v>
      </c>
      <c r="N57" s="395">
        <v>69855</v>
      </c>
      <c r="O57" s="396">
        <v>323134.7</v>
      </c>
      <c r="P57" s="395"/>
      <c r="Q57" s="395"/>
      <c r="R57" s="395"/>
      <c r="S57" s="395"/>
      <c r="V57" s="399" t="s">
        <v>10</v>
      </c>
    </row>
    <row r="58" spans="1:22" s="397" customFormat="1" ht="18" customHeight="1">
      <c r="A58" s="104">
        <f>766000-20000+5000+18900+6400+6000+2200+2900+20000+20000+16000</f>
        <v>843400</v>
      </c>
      <c r="B58" s="104"/>
      <c r="C58" s="104">
        <f t="shared" si="7"/>
        <v>738830.95</v>
      </c>
      <c r="D58" s="104">
        <f t="shared" si="8"/>
        <v>738830.95</v>
      </c>
      <c r="E58" s="191" t="s">
        <v>11</v>
      </c>
      <c r="F58" s="31" t="s">
        <v>141</v>
      </c>
      <c r="G58" s="24">
        <f t="shared" si="6"/>
        <v>113142.68</v>
      </c>
      <c r="H58" s="395">
        <v>88541.58</v>
      </c>
      <c r="I58" s="395">
        <v>81986.02</v>
      </c>
      <c r="J58" s="395">
        <v>81780.95</v>
      </c>
      <c r="K58" s="395">
        <v>82618.67</v>
      </c>
      <c r="L58" s="395">
        <v>104140.72</v>
      </c>
      <c r="M58" s="395">
        <v>88987.29</v>
      </c>
      <c r="N58" s="395">
        <v>97633.04</v>
      </c>
      <c r="O58" s="396">
        <v>113142.68</v>
      </c>
      <c r="P58" s="395"/>
      <c r="Q58" s="395"/>
      <c r="R58" s="395"/>
      <c r="S58" s="395"/>
      <c r="V58" s="399" t="s">
        <v>11</v>
      </c>
    </row>
    <row r="59" spans="1:22" s="35" customFormat="1" ht="18" customHeight="1">
      <c r="A59" s="104">
        <f>384000+100000+97000+25400</f>
        <v>606400</v>
      </c>
      <c r="B59" s="104">
        <v>30700</v>
      </c>
      <c r="C59" s="104">
        <f>SUM(D59)</f>
        <v>457048.43000000005</v>
      </c>
      <c r="D59" s="104">
        <f t="shared" si="8"/>
        <v>457048.43000000005</v>
      </c>
      <c r="E59" s="192" t="s">
        <v>13</v>
      </c>
      <c r="F59" s="31" t="s">
        <v>142</v>
      </c>
      <c r="G59" s="24">
        <f t="shared" si="6"/>
        <v>191950</v>
      </c>
      <c r="H59" s="45">
        <v>0</v>
      </c>
      <c r="I59" s="45">
        <v>52000</v>
      </c>
      <c r="J59" s="45">
        <v>21200</v>
      </c>
      <c r="K59" s="45">
        <v>51337.33</v>
      </c>
      <c r="L59" s="45">
        <v>111730</v>
      </c>
      <c r="M59" s="45">
        <v>6131.1</v>
      </c>
      <c r="N59" s="45">
        <v>22700</v>
      </c>
      <c r="O59" s="250">
        <v>191950</v>
      </c>
      <c r="P59" s="45">
        <v>0</v>
      </c>
      <c r="Q59" s="45"/>
      <c r="R59" s="45"/>
      <c r="S59" s="45"/>
      <c r="V59" s="192" t="s">
        <v>13</v>
      </c>
    </row>
    <row r="60" spans="1:22" s="35" customFormat="1" ht="18" customHeight="1">
      <c r="A60" s="104">
        <f>520000-100000-97000</f>
        <v>323000</v>
      </c>
      <c r="B60" s="104"/>
      <c r="C60" s="104">
        <f>SUM(D60)</f>
        <v>299000</v>
      </c>
      <c r="D60" s="104">
        <f t="shared" si="8"/>
        <v>299000</v>
      </c>
      <c r="E60" s="192" t="s">
        <v>14</v>
      </c>
      <c r="F60" s="31" t="s">
        <v>143</v>
      </c>
      <c r="G60" s="24">
        <f t="shared" si="6"/>
        <v>299000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/>
      <c r="N60" s="45">
        <v>0</v>
      </c>
      <c r="O60" s="250">
        <v>299000</v>
      </c>
      <c r="P60" s="45">
        <v>0</v>
      </c>
      <c r="Q60" s="45">
        <v>0</v>
      </c>
      <c r="R60" s="45">
        <v>0</v>
      </c>
      <c r="S60" s="45"/>
      <c r="V60" s="192" t="s">
        <v>14</v>
      </c>
    </row>
    <row r="61" spans="1:22" s="35" customFormat="1" ht="18" customHeight="1">
      <c r="A61" s="104">
        <f>25000-25000</f>
        <v>0</v>
      </c>
      <c r="B61" s="104"/>
      <c r="C61" s="104">
        <f t="shared" si="7"/>
        <v>0</v>
      </c>
      <c r="D61" s="104">
        <f t="shared" si="8"/>
        <v>0</v>
      </c>
      <c r="E61" s="192" t="s">
        <v>15</v>
      </c>
      <c r="F61" s="31" t="s">
        <v>216</v>
      </c>
      <c r="G61" s="24">
        <f t="shared" si="6"/>
        <v>0</v>
      </c>
      <c r="H61" s="45">
        <v>0</v>
      </c>
      <c r="I61" s="45">
        <v>0</v>
      </c>
      <c r="J61" s="45"/>
      <c r="K61" s="45">
        <v>0</v>
      </c>
      <c r="L61" s="45">
        <v>0</v>
      </c>
      <c r="M61" s="45">
        <v>0</v>
      </c>
      <c r="N61" s="45">
        <v>0</v>
      </c>
      <c r="O61" s="250">
        <v>0</v>
      </c>
      <c r="P61" s="45">
        <v>0</v>
      </c>
      <c r="Q61" s="45">
        <v>0</v>
      </c>
      <c r="R61" s="45">
        <v>0</v>
      </c>
      <c r="S61" s="45">
        <v>0</v>
      </c>
      <c r="V61" s="192" t="s">
        <v>15</v>
      </c>
    </row>
    <row r="62" spans="1:22" s="35" customFormat="1" ht="18" customHeight="1">
      <c r="A62" s="104">
        <f>2107850+97900</f>
        <v>2205750</v>
      </c>
      <c r="B62" s="104">
        <v>0</v>
      </c>
      <c r="C62" s="104">
        <f>SUM(D62)</f>
        <v>1445600</v>
      </c>
      <c r="D62" s="104">
        <f t="shared" si="8"/>
        <v>1445600</v>
      </c>
      <c r="E62" s="192" t="s">
        <v>12</v>
      </c>
      <c r="F62" s="31" t="s">
        <v>172</v>
      </c>
      <c r="G62" s="24">
        <f t="shared" si="6"/>
        <v>364480</v>
      </c>
      <c r="H62" s="45">
        <v>0</v>
      </c>
      <c r="I62" s="45">
        <v>450500</v>
      </c>
      <c r="J62" s="45">
        <v>0</v>
      </c>
      <c r="K62" s="45">
        <v>0</v>
      </c>
      <c r="L62" s="45">
        <v>630620</v>
      </c>
      <c r="M62" s="45">
        <v>0</v>
      </c>
      <c r="N62" s="45">
        <v>0</v>
      </c>
      <c r="O62" s="250">
        <v>364480</v>
      </c>
      <c r="P62" s="45"/>
      <c r="Q62" s="45"/>
      <c r="R62" s="45"/>
      <c r="S62" s="45"/>
      <c r="V62" s="192" t="s">
        <v>12</v>
      </c>
    </row>
    <row r="63" spans="1:22" s="35" customFormat="1" ht="18" customHeight="1">
      <c r="A63" s="319"/>
      <c r="B63" s="345">
        <v>4630000</v>
      </c>
      <c r="C63" s="213">
        <f>SUM(H63:S63)-30700</f>
        <v>4630000</v>
      </c>
      <c r="D63" s="213">
        <v>0</v>
      </c>
      <c r="E63" s="192" t="s">
        <v>122</v>
      </c>
      <c r="F63" s="31" t="s">
        <v>217</v>
      </c>
      <c r="G63" s="24">
        <f t="shared" si="6"/>
        <v>0</v>
      </c>
      <c r="H63" s="45">
        <v>0</v>
      </c>
      <c r="I63" s="45"/>
      <c r="J63" s="45">
        <v>0</v>
      </c>
      <c r="K63" s="45">
        <v>30700</v>
      </c>
      <c r="L63" s="45"/>
      <c r="M63" s="45"/>
      <c r="N63" s="45">
        <v>4630000</v>
      </c>
      <c r="O63" s="250">
        <v>0</v>
      </c>
      <c r="P63" s="45"/>
      <c r="Q63" s="214">
        <v>0</v>
      </c>
      <c r="R63" s="214"/>
      <c r="S63" s="45"/>
      <c r="V63" s="192" t="s">
        <v>122</v>
      </c>
    </row>
    <row r="64" spans="1:22" s="35" customFormat="1" ht="18" customHeight="1" thickBot="1">
      <c r="A64" s="149">
        <f>SUM(A44:A62)</f>
        <v>32918500</v>
      </c>
      <c r="B64" s="346">
        <f>SUM(B59:B63)</f>
        <v>4660700</v>
      </c>
      <c r="C64" s="105">
        <f>SUM(C45:C63)+30700</f>
        <v>27028350.849999998</v>
      </c>
      <c r="D64" s="106">
        <f>SUM(D45:D63)</f>
        <v>22367650.849999998</v>
      </c>
      <c r="E64" s="193"/>
      <c r="F64" s="31"/>
      <c r="G64" s="107">
        <f>SUM(G45:G63)</f>
        <v>3488593.85</v>
      </c>
      <c r="H64" s="151" t="s">
        <v>29</v>
      </c>
      <c r="I64" s="151" t="s">
        <v>30</v>
      </c>
      <c r="J64" s="151" t="s">
        <v>31</v>
      </c>
      <c r="K64" s="151" t="s">
        <v>32</v>
      </c>
      <c r="L64" s="151" t="s">
        <v>33</v>
      </c>
      <c r="M64" s="151" t="s">
        <v>34</v>
      </c>
      <c r="N64" s="151" t="s">
        <v>35</v>
      </c>
      <c r="O64" s="245" t="s">
        <v>36</v>
      </c>
      <c r="P64" s="151" t="s">
        <v>37</v>
      </c>
      <c r="Q64" s="152" t="s">
        <v>38</v>
      </c>
      <c r="R64" s="152" t="s">
        <v>39</v>
      </c>
      <c r="S64" s="151" t="s">
        <v>40</v>
      </c>
      <c r="V64" s="40"/>
    </row>
    <row r="65" spans="1:22" s="35" customFormat="1" ht="18" customHeight="1" thickBot="1" thickTop="1">
      <c r="A65" s="41"/>
      <c r="B65" s="42">
        <f>SUM(B20-B64)</f>
        <v>0</v>
      </c>
      <c r="C65" s="42">
        <f>SUM(C20-C63)-30700</f>
        <v>32918500</v>
      </c>
      <c r="D65" s="39">
        <f aca="true" t="shared" si="9" ref="D65:D72">SUM(H65+I65+J65+K65+L65+M65+N65+O65+P65+Q65+R65+S65)</f>
        <v>454669.06</v>
      </c>
      <c r="E65" s="192" t="s">
        <v>212</v>
      </c>
      <c r="F65" s="31" t="s">
        <v>130</v>
      </c>
      <c r="G65" s="104">
        <f>SUM(O65)</f>
        <v>0</v>
      </c>
      <c r="H65" s="45">
        <v>256000</v>
      </c>
      <c r="I65" s="45">
        <v>24000</v>
      </c>
      <c r="J65" s="45">
        <v>0</v>
      </c>
      <c r="K65" s="45">
        <v>12804.25</v>
      </c>
      <c r="L65" s="45">
        <v>16000</v>
      </c>
      <c r="M65" s="45">
        <v>3900</v>
      </c>
      <c r="N65" s="45">
        <f>108750+18800+5172+9242.81</f>
        <v>141964.81</v>
      </c>
      <c r="O65" s="250"/>
      <c r="P65" s="45"/>
      <c r="Q65" s="45"/>
      <c r="R65" s="45"/>
      <c r="S65" s="45"/>
      <c r="V65" s="192" t="s">
        <v>212</v>
      </c>
    </row>
    <row r="66" spans="1:22" s="35" customFormat="1" ht="18" customHeight="1" thickTop="1">
      <c r="A66" s="41"/>
      <c r="B66" s="205"/>
      <c r="C66" s="205"/>
      <c r="D66" s="39">
        <f>SUM(H66+I66+J66+K66+L66+M66+N66+O66+P66+Q66+R66+S66)</f>
        <v>18300</v>
      </c>
      <c r="E66" s="192" t="s">
        <v>289</v>
      </c>
      <c r="F66" s="31" t="s">
        <v>130</v>
      </c>
      <c r="G66" s="104">
        <f aca="true" t="shared" si="10" ref="G66:G72">SUM(O66)</f>
        <v>6100</v>
      </c>
      <c r="H66" s="45"/>
      <c r="I66" s="45"/>
      <c r="J66" s="45"/>
      <c r="K66" s="45">
        <v>6100</v>
      </c>
      <c r="L66" s="45">
        <v>0</v>
      </c>
      <c r="M66" s="45">
        <v>6100</v>
      </c>
      <c r="N66" s="45">
        <v>0</v>
      </c>
      <c r="O66" s="250">
        <v>6100</v>
      </c>
      <c r="P66" s="45"/>
      <c r="Q66" s="45"/>
      <c r="R66" s="45"/>
      <c r="S66" s="45"/>
      <c r="V66" s="192"/>
    </row>
    <row r="67" spans="1:22" s="35" customFormat="1" ht="18" customHeight="1">
      <c r="A67" s="41"/>
      <c r="B67" s="41"/>
      <c r="C67" s="41"/>
      <c r="D67" s="39">
        <f t="shared" si="9"/>
        <v>298038</v>
      </c>
      <c r="E67" s="194" t="s">
        <v>250</v>
      </c>
      <c r="F67" s="43" t="s">
        <v>129</v>
      </c>
      <c r="G67" s="104">
        <f t="shared" si="10"/>
        <v>0</v>
      </c>
      <c r="H67" s="156"/>
      <c r="I67" s="45">
        <v>56412</v>
      </c>
      <c r="J67" s="45">
        <v>73934</v>
      </c>
      <c r="K67" s="45">
        <v>0</v>
      </c>
      <c r="L67" s="45">
        <v>74168</v>
      </c>
      <c r="M67" s="45">
        <v>0</v>
      </c>
      <c r="N67" s="45">
        <v>93524</v>
      </c>
      <c r="O67" s="250">
        <v>0</v>
      </c>
      <c r="P67" s="45"/>
      <c r="Q67" s="45"/>
      <c r="R67" s="45"/>
      <c r="S67" s="45"/>
      <c r="V67" s="194" t="s">
        <v>250</v>
      </c>
    </row>
    <row r="68" spans="1:22" s="35" customFormat="1" ht="18" customHeight="1">
      <c r="A68" s="41"/>
      <c r="B68" s="41"/>
      <c r="C68" s="41"/>
      <c r="D68" s="39">
        <f t="shared" si="9"/>
        <v>273396.21</v>
      </c>
      <c r="E68" s="192" t="s">
        <v>243</v>
      </c>
      <c r="F68" s="31" t="s">
        <v>132</v>
      </c>
      <c r="G68" s="104">
        <f t="shared" si="10"/>
        <v>0</v>
      </c>
      <c r="H68" s="156"/>
      <c r="I68" s="45">
        <v>0</v>
      </c>
      <c r="J68" s="45">
        <v>273396.21</v>
      </c>
      <c r="K68" s="45">
        <v>0</v>
      </c>
      <c r="L68" s="45">
        <v>0</v>
      </c>
      <c r="M68" s="45">
        <v>0</v>
      </c>
      <c r="N68" s="45">
        <v>0</v>
      </c>
      <c r="O68" s="250">
        <v>0</v>
      </c>
      <c r="P68" s="45"/>
      <c r="Q68" s="45"/>
      <c r="R68" s="45"/>
      <c r="S68" s="45"/>
      <c r="V68" s="192" t="s">
        <v>243</v>
      </c>
    </row>
    <row r="69" spans="1:22" s="35" customFormat="1" ht="18" customHeight="1">
      <c r="A69" s="41"/>
      <c r="B69" s="41"/>
      <c r="C69" s="41"/>
      <c r="D69" s="39">
        <f>SUM(H69+I69+J69+K69+L69+M69+N69+O69+P69+Q69+R69+S69)</f>
        <v>49582</v>
      </c>
      <c r="E69" s="192" t="s">
        <v>273</v>
      </c>
      <c r="F69" s="31" t="s">
        <v>274</v>
      </c>
      <c r="G69" s="104">
        <f>SUM(O69)</f>
        <v>0</v>
      </c>
      <c r="H69" s="156"/>
      <c r="I69" s="45"/>
      <c r="J69" s="45">
        <v>13728</v>
      </c>
      <c r="K69" s="45">
        <v>35854</v>
      </c>
      <c r="L69" s="45">
        <v>0</v>
      </c>
      <c r="M69" s="45">
        <v>0</v>
      </c>
      <c r="N69" s="45">
        <v>0</v>
      </c>
      <c r="O69" s="250">
        <v>0</v>
      </c>
      <c r="P69" s="45"/>
      <c r="Q69" s="45"/>
      <c r="R69" s="45"/>
      <c r="S69" s="45"/>
      <c r="V69" s="192"/>
    </row>
    <row r="70" spans="1:22" s="35" customFormat="1" ht="18" customHeight="1">
      <c r="A70" s="41"/>
      <c r="B70" s="41"/>
      <c r="C70" s="41"/>
      <c r="D70" s="39">
        <f>SUM(H70+I70+J70+K70+L70+M70+N70+O70+P70+Q70+R70+S70)</f>
        <v>1214518.4</v>
      </c>
      <c r="E70" s="192" t="s">
        <v>233</v>
      </c>
      <c r="F70" s="31" t="s">
        <v>147</v>
      </c>
      <c r="G70" s="104">
        <f t="shared" si="10"/>
        <v>795814.8</v>
      </c>
      <c r="H70" s="45">
        <v>30765.25</v>
      </c>
      <c r="I70" s="45">
        <v>36241.77</v>
      </c>
      <c r="J70" s="45">
        <v>57970.08</v>
      </c>
      <c r="K70" s="45">
        <v>86238.86</v>
      </c>
      <c r="L70" s="45">
        <v>146389.91</v>
      </c>
      <c r="M70" s="45">
        <v>29530.19</v>
      </c>
      <c r="N70" s="45">
        <v>31567.54</v>
      </c>
      <c r="O70" s="250">
        <v>795814.8</v>
      </c>
      <c r="P70" s="45"/>
      <c r="Q70" s="45"/>
      <c r="R70" s="45"/>
      <c r="S70" s="45"/>
      <c r="V70" s="192" t="s">
        <v>233</v>
      </c>
    </row>
    <row r="71" spans="1:22" s="35" customFormat="1" ht="18" customHeight="1">
      <c r="A71" s="41"/>
      <c r="B71" s="41"/>
      <c r="C71" s="41"/>
      <c r="D71" s="39">
        <f>SUM(H71+I71+J71+K71+L71+M71+N71+O71+P71+Q71+R71+S71)</f>
        <v>6655929.96</v>
      </c>
      <c r="E71" s="194" t="s">
        <v>204</v>
      </c>
      <c r="F71" s="43" t="s">
        <v>144</v>
      </c>
      <c r="G71" s="104">
        <f>SUM(O71)</f>
        <v>996000</v>
      </c>
      <c r="H71" s="156">
        <v>46600</v>
      </c>
      <c r="I71" s="45">
        <v>588203.96</v>
      </c>
      <c r="J71" s="45">
        <f>1247500+1003126</f>
        <v>2250626</v>
      </c>
      <c r="K71" s="45">
        <f>1297192+996000</f>
        <v>2293192</v>
      </c>
      <c r="L71" s="45">
        <v>81308</v>
      </c>
      <c r="M71" s="45">
        <v>0</v>
      </c>
      <c r="N71" s="45">
        <v>400000</v>
      </c>
      <c r="O71" s="250">
        <v>996000</v>
      </c>
      <c r="P71" s="45"/>
      <c r="Q71" s="45"/>
      <c r="R71" s="45"/>
      <c r="S71" s="45"/>
      <c r="V71" s="194" t="s">
        <v>204</v>
      </c>
    </row>
    <row r="72" spans="1:22" s="397" customFormat="1" ht="18" customHeight="1">
      <c r="A72" s="41"/>
      <c r="B72" s="41"/>
      <c r="C72" s="41"/>
      <c r="D72" s="39">
        <f t="shared" si="9"/>
        <v>1493996.1099999999</v>
      </c>
      <c r="E72" s="192" t="s">
        <v>220</v>
      </c>
      <c r="F72" s="31" t="s">
        <v>128</v>
      </c>
      <c r="G72" s="104">
        <f t="shared" si="10"/>
        <v>0</v>
      </c>
      <c r="H72" s="395">
        <v>0</v>
      </c>
      <c r="I72" s="395">
        <v>994.11</v>
      </c>
      <c r="J72" s="395"/>
      <c r="K72" s="395">
        <v>0</v>
      </c>
      <c r="L72" s="395">
        <v>2</v>
      </c>
      <c r="M72" s="395">
        <v>994000</v>
      </c>
      <c r="N72" s="395">
        <v>499000</v>
      </c>
      <c r="O72" s="396">
        <v>0</v>
      </c>
      <c r="P72" s="395"/>
      <c r="Q72" s="395"/>
      <c r="R72" s="395"/>
      <c r="S72" s="395"/>
      <c r="V72" s="394" t="s">
        <v>220</v>
      </c>
    </row>
    <row r="73" spans="1:22" s="35" customFormat="1" ht="18" customHeight="1">
      <c r="A73" s="41"/>
      <c r="B73" s="205"/>
      <c r="C73" s="206"/>
      <c r="D73" s="302">
        <f>SUM(H73+I73+J73+K73+L73+M73+N73+O73+P73+Q73+R73+S73)</f>
        <v>873331.37</v>
      </c>
      <c r="E73" s="195" t="s">
        <v>213</v>
      </c>
      <c r="F73" s="32" t="s">
        <v>146</v>
      </c>
      <c r="G73" s="104">
        <f>SUM(N73)</f>
        <v>0</v>
      </c>
      <c r="H73" s="45">
        <v>495000</v>
      </c>
      <c r="I73" s="45">
        <f>378000+331.37</f>
        <v>378331.37</v>
      </c>
      <c r="J73" s="45"/>
      <c r="K73" s="45">
        <v>0</v>
      </c>
      <c r="L73" s="45"/>
      <c r="M73" s="45"/>
      <c r="N73" s="45">
        <v>0</v>
      </c>
      <c r="O73" s="250">
        <v>0</v>
      </c>
      <c r="P73" s="45"/>
      <c r="Q73" s="45">
        <v>0</v>
      </c>
      <c r="R73" s="45">
        <v>0</v>
      </c>
      <c r="S73" s="45">
        <v>0</v>
      </c>
      <c r="V73" s="195" t="s">
        <v>213</v>
      </c>
    </row>
    <row r="74" spans="1:19" s="35" customFormat="1" ht="18" customHeight="1">
      <c r="A74" s="44"/>
      <c r="B74" s="326"/>
      <c r="C74" s="44"/>
      <c r="D74" s="187">
        <f>SUM(D65:D73)</f>
        <v>11331761.109999998</v>
      </c>
      <c r="E74" s="44"/>
      <c r="F74" s="47"/>
      <c r="G74" s="46">
        <f>SUM(G65:G73)</f>
        <v>1797914.8</v>
      </c>
      <c r="H74" s="155"/>
      <c r="I74" s="155">
        <f>SUM(I65:I73)</f>
        <v>1084183.21</v>
      </c>
      <c r="J74" s="155">
        <f>SUM(J65:J73)</f>
        <v>2669654.29</v>
      </c>
      <c r="K74" s="155">
        <f>SUM(K65:K73)</f>
        <v>2434189.11</v>
      </c>
      <c r="L74" s="155">
        <f>SUM(L65:L73)</f>
        <v>317867.91000000003</v>
      </c>
      <c r="M74" s="155">
        <f>SUM(M65:M73)</f>
        <v>1033530.19</v>
      </c>
      <c r="N74" s="155"/>
      <c r="O74" s="249"/>
      <c r="P74" s="155"/>
      <c r="Q74" s="50"/>
      <c r="R74" s="50"/>
      <c r="S74" s="155"/>
    </row>
    <row r="75" spans="1:19" s="35" customFormat="1" ht="18" customHeight="1" thickBot="1">
      <c r="A75" s="44"/>
      <c r="B75" s="326"/>
      <c r="C75" s="44"/>
      <c r="D75" s="48">
        <f>SUM(D64+D74)</f>
        <v>33699411.95999999</v>
      </c>
      <c r="E75" s="196" t="s">
        <v>52</v>
      </c>
      <c r="F75" s="49"/>
      <c r="G75" s="48">
        <f>SUM(G64+G74)</f>
        <v>5286508.65</v>
      </c>
      <c r="H75" s="155"/>
      <c r="I75" s="155"/>
      <c r="J75" s="155"/>
      <c r="K75" s="155"/>
      <c r="L75" s="155"/>
      <c r="M75" s="155">
        <f>2272859.7-2277420.95</f>
        <v>-4561.25</v>
      </c>
      <c r="N75" s="155"/>
      <c r="O75" s="249"/>
      <c r="P75" s="155"/>
      <c r="Q75" s="50"/>
      <c r="R75" s="157">
        <f>SUM(G75-2103694.82)</f>
        <v>3182813.8300000005</v>
      </c>
      <c r="S75" s="155"/>
    </row>
    <row r="76" spans="1:19" s="35" customFormat="1" ht="18" customHeight="1" thickTop="1">
      <c r="A76" s="44"/>
      <c r="B76" s="326"/>
      <c r="C76" s="44"/>
      <c r="D76" s="148">
        <f>SUM(D20-D64)</f>
        <v>3598798.2300000004</v>
      </c>
      <c r="E76" s="197" t="s">
        <v>53</v>
      </c>
      <c r="F76" s="50"/>
      <c r="G76" s="148">
        <f>SUM(G34-G75)</f>
        <v>-2285888.3900000006</v>
      </c>
      <c r="H76" s="155"/>
      <c r="I76" s="155">
        <f>SUM(G75-21777)+570</f>
        <v>5265301.65</v>
      </c>
      <c r="J76" s="155"/>
      <c r="K76" s="155"/>
      <c r="L76" s="155"/>
      <c r="M76" s="155"/>
      <c r="N76" s="155"/>
      <c r="O76" s="249">
        <f>SUM(G75-2086575.16)</f>
        <v>3199933.49</v>
      </c>
      <c r="P76" s="155"/>
      <c r="Q76" s="50"/>
      <c r="R76" s="50"/>
      <c r="S76" s="155"/>
    </row>
    <row r="77" spans="1:19" s="35" customFormat="1" ht="18" customHeight="1">
      <c r="A77" s="44"/>
      <c r="B77" s="326"/>
      <c r="C77" s="44"/>
      <c r="D77" s="100"/>
      <c r="E77" s="35" t="s">
        <v>54</v>
      </c>
      <c r="F77" s="50"/>
      <c r="G77" s="51"/>
      <c r="H77" s="155"/>
      <c r="I77" s="155"/>
      <c r="J77" s="155"/>
      <c r="K77" s="155"/>
      <c r="L77" s="155"/>
      <c r="M77" s="155"/>
      <c r="N77" s="155"/>
      <c r="O77" s="249"/>
      <c r="P77" s="155"/>
      <c r="Q77" s="50"/>
      <c r="R77" s="50"/>
      <c r="S77" s="155"/>
    </row>
    <row r="78" spans="1:19" s="35" customFormat="1" ht="18" customHeight="1">
      <c r="A78" s="44"/>
      <c r="B78" s="327"/>
      <c r="C78" s="44"/>
      <c r="D78" s="52"/>
      <c r="E78" s="198" t="s">
        <v>55</v>
      </c>
      <c r="F78" s="50"/>
      <c r="G78" s="52"/>
      <c r="H78" s="155"/>
      <c r="I78" s="155"/>
      <c r="J78" s="155"/>
      <c r="K78" s="155"/>
      <c r="L78" s="155"/>
      <c r="M78" s="155"/>
      <c r="N78" s="155"/>
      <c r="O78" s="249"/>
      <c r="P78" s="155"/>
      <c r="Q78" s="50"/>
      <c r="R78" s="50"/>
      <c r="S78" s="155"/>
    </row>
    <row r="79" spans="1:19" s="35" customFormat="1" ht="18" customHeight="1" thickBot="1">
      <c r="A79" s="44"/>
      <c r="B79" s="44"/>
      <c r="C79" s="44"/>
      <c r="D79" s="48">
        <f>SUM(D9+D34-D75+C19-B64-C63)-2+4+C63</f>
        <v>16331559.450000003</v>
      </c>
      <c r="E79" s="196" t="s">
        <v>56</v>
      </c>
      <c r="F79" s="49"/>
      <c r="G79" s="48">
        <f>G9+G34-G75+G19-D63-D72+994.11+G63+2+G72-G19+M72+N72</f>
        <v>16331559.450000001</v>
      </c>
      <c r="H79" s="155"/>
      <c r="I79" s="155">
        <f>SUM(D79-G79)</f>
        <v>1.862645149230957E-09</v>
      </c>
      <c r="J79" s="155"/>
      <c r="K79" s="155"/>
      <c r="L79" s="155"/>
      <c r="M79" s="155"/>
      <c r="N79" s="155"/>
      <c r="O79" s="249">
        <f>SUM(G78-2086575.16)</f>
        <v>-2086575.16</v>
      </c>
      <c r="P79" s="155"/>
      <c r="Q79" s="50"/>
      <c r="R79" s="50"/>
      <c r="S79" s="155"/>
    </row>
    <row r="80" spans="1:19" s="102" customFormat="1" ht="18" customHeight="1" thickTop="1">
      <c r="A80" s="23"/>
      <c r="B80" s="23"/>
      <c r="C80" s="23"/>
      <c r="D80" s="23"/>
      <c r="E80" s="23"/>
      <c r="F80" s="101"/>
      <c r="G80" s="23"/>
      <c r="H80" s="158">
        <f>SUM(D79-G79)</f>
        <v>1.862645149230957E-09</v>
      </c>
      <c r="I80" s="158"/>
      <c r="J80" s="158"/>
      <c r="K80" s="158"/>
      <c r="L80" s="158">
        <f>SUM(2060656.05-2060634.05)</f>
        <v>22</v>
      </c>
      <c r="M80" s="158"/>
      <c r="N80" s="158"/>
      <c r="O80" s="249"/>
      <c r="P80" s="158"/>
      <c r="Q80" s="101"/>
      <c r="R80" s="101"/>
      <c r="S80" s="158"/>
    </row>
    <row r="81" spans="1:19" s="102" customFormat="1" ht="18" customHeight="1">
      <c r="A81" s="23"/>
      <c r="B81" s="23"/>
      <c r="C81" s="23"/>
      <c r="D81" s="23"/>
      <c r="E81" s="23"/>
      <c r="F81" s="101"/>
      <c r="G81" s="303"/>
      <c r="H81" s="158"/>
      <c r="I81" s="158">
        <f>SUM(D79-G79)</f>
        <v>1.862645149230957E-09</v>
      </c>
      <c r="J81" s="158"/>
      <c r="K81" s="158"/>
      <c r="L81" s="158"/>
      <c r="M81" s="158"/>
      <c r="N81" s="158"/>
      <c r="O81" s="249"/>
      <c r="P81" s="158"/>
      <c r="Q81" s="101"/>
      <c r="R81" s="101"/>
      <c r="S81" s="158"/>
    </row>
    <row r="82" spans="1:19" s="102" customFormat="1" ht="18" customHeight="1">
      <c r="A82" s="23"/>
      <c r="B82" s="23"/>
      <c r="C82" s="23"/>
      <c r="D82" s="344">
        <v>16331559.45</v>
      </c>
      <c r="E82" s="23"/>
      <c r="F82" s="101" t="s">
        <v>16</v>
      </c>
      <c r="G82" s="344">
        <v>16331559.45</v>
      </c>
      <c r="H82" s="158">
        <v>18617447.84</v>
      </c>
      <c r="I82" s="158"/>
      <c r="J82" s="158"/>
      <c r="K82" s="22"/>
      <c r="L82" s="158"/>
      <c r="M82" s="158"/>
      <c r="N82" s="158"/>
      <c r="O82" s="249"/>
      <c r="P82" s="158"/>
      <c r="Q82" s="101"/>
      <c r="R82" s="101"/>
      <c r="S82" s="158"/>
    </row>
    <row r="83" spans="4:15" ht="18.75">
      <c r="D83" s="175">
        <v>11701559.45</v>
      </c>
      <c r="G83" s="175">
        <v>15832559.45</v>
      </c>
      <c r="H83" s="22">
        <v>17623447.84</v>
      </c>
      <c r="O83" s="251"/>
    </row>
    <row r="84" spans="4:15" ht="18.75">
      <c r="D84" s="175">
        <f>SUM(D82-D83)</f>
        <v>4630000</v>
      </c>
      <c r="F84" s="103" t="s">
        <v>263</v>
      </c>
      <c r="G84" s="175">
        <f>SUM(G82-G83)</f>
        <v>499000</v>
      </c>
      <c r="H84" s="22">
        <f>SUM(H82-H83)</f>
        <v>994000</v>
      </c>
      <c r="I84" s="22">
        <v>4721150</v>
      </c>
      <c r="O84" s="251"/>
    </row>
    <row r="85" spans="5:15" ht="18.75">
      <c r="E85" s="18" t="s">
        <v>262</v>
      </c>
      <c r="F85" s="103" t="s">
        <v>260</v>
      </c>
      <c r="G85" s="175"/>
      <c r="I85" s="22">
        <v>3727150</v>
      </c>
      <c r="O85" s="251"/>
    </row>
    <row r="86" spans="5:15" ht="18.75">
      <c r="E86" s="304" t="s">
        <v>261</v>
      </c>
      <c r="F86" s="103">
        <v>5364</v>
      </c>
      <c r="G86" s="175"/>
      <c r="I86" s="22">
        <f>SUM(I84-I85)</f>
        <v>994000</v>
      </c>
      <c r="O86" s="251"/>
    </row>
  </sheetData>
  <sheetProtection/>
  <mergeCells count="7">
    <mergeCell ref="A41:D41"/>
    <mergeCell ref="A1:G1"/>
    <mergeCell ref="A2:G2"/>
    <mergeCell ref="A3:G3"/>
    <mergeCell ref="A4:G4"/>
    <mergeCell ref="A5:G5"/>
    <mergeCell ref="A6:D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view="pageBreakPreview" zoomScale="80" zoomScaleNormal="80" zoomScaleSheetLayoutView="80" zoomScalePageLayoutView="0" workbookViewId="0" topLeftCell="A1">
      <selection activeCell="F63" sqref="F63"/>
    </sheetView>
  </sheetViews>
  <sheetFormatPr defaultColWidth="9.140625" defaultRowHeight="19.5" customHeight="1"/>
  <cols>
    <col min="1" max="1" width="4.140625" style="134" customWidth="1"/>
    <col min="2" max="2" width="13.57421875" style="134" customWidth="1"/>
    <col min="3" max="3" width="13.421875" style="134" customWidth="1"/>
    <col min="4" max="4" width="9.00390625" style="134" customWidth="1"/>
    <col min="5" max="5" width="9.57421875" style="134" customWidth="1"/>
    <col min="6" max="6" width="12.7109375" style="134" customWidth="1"/>
    <col min="7" max="7" width="9.00390625" style="134" customWidth="1"/>
    <col min="8" max="8" width="14.8515625" style="134" customWidth="1"/>
    <col min="9" max="10" width="9.00390625" style="134" customWidth="1"/>
    <col min="11" max="11" width="11.421875" style="134" customWidth="1"/>
    <col min="12" max="14" width="9.00390625" style="134" customWidth="1"/>
    <col min="15" max="15" width="12.57421875" style="134" customWidth="1"/>
    <col min="16" max="16" width="16.421875" style="134" customWidth="1"/>
    <col min="17" max="17" width="8.28125" style="134" customWidth="1"/>
    <col min="18" max="18" width="12.7109375" style="134" customWidth="1"/>
    <col min="19" max="20" width="10.28125" style="134" customWidth="1"/>
    <col min="21" max="21" width="3.7109375" style="134" customWidth="1"/>
    <col min="22" max="22" width="16.28125" style="134" customWidth="1"/>
    <col min="23" max="23" width="10.28125" style="134" customWidth="1"/>
    <col min="24" max="24" width="14.421875" style="134" customWidth="1"/>
    <col min="25" max="26" width="13.421875" style="134" bestFit="1" customWidth="1"/>
    <col min="27" max="31" width="9.00390625" style="134" customWidth="1"/>
    <col min="32" max="32" width="10.8515625" style="134" customWidth="1"/>
    <col min="33" max="16384" width="9.00390625" style="134" customWidth="1"/>
  </cols>
  <sheetData>
    <row r="1" spans="17:24" ht="19.5" customHeight="1">
      <c r="Q1" s="257" t="s">
        <v>80</v>
      </c>
      <c r="R1" s="261"/>
      <c r="S1" s="261"/>
      <c r="T1" s="261"/>
      <c r="U1" s="287"/>
      <c r="V1" s="262"/>
      <c r="W1" s="257" t="s">
        <v>81</v>
      </c>
      <c r="X1" s="288"/>
    </row>
    <row r="2" spans="1:24" ht="19.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86" t="s">
        <v>107</v>
      </c>
      <c r="R2" s="265"/>
      <c r="S2" s="265"/>
      <c r="T2" s="265"/>
      <c r="U2" s="266"/>
      <c r="V2" s="263"/>
      <c r="W2" s="264" t="s">
        <v>100</v>
      </c>
      <c r="X2" s="289"/>
    </row>
    <row r="3" spans="1:24" ht="21.75" customHeight="1">
      <c r="A3" s="143" t="s">
        <v>80</v>
      </c>
      <c r="B3" s="111"/>
      <c r="C3" s="111"/>
      <c r="D3" s="111"/>
      <c r="E3" s="111"/>
      <c r="F3" s="162"/>
      <c r="G3" s="143" t="s">
        <v>82</v>
      </c>
      <c r="H3" s="268"/>
      <c r="I3" s="143" t="s">
        <v>80</v>
      </c>
      <c r="J3" s="111"/>
      <c r="K3" s="111"/>
      <c r="L3" s="111"/>
      <c r="M3" s="111"/>
      <c r="N3" s="162"/>
      <c r="O3" s="143" t="s">
        <v>82</v>
      </c>
      <c r="P3" s="268"/>
      <c r="Q3" s="143" t="s">
        <v>315</v>
      </c>
      <c r="R3" s="143"/>
      <c r="S3" s="143"/>
      <c r="T3" s="143"/>
      <c r="U3" s="143"/>
      <c r="V3" s="143"/>
      <c r="W3" s="143"/>
      <c r="X3" s="260">
        <v>6756814.45</v>
      </c>
    </row>
    <row r="4" spans="1:24" ht="21.75" customHeight="1" thickBot="1">
      <c r="A4" s="421" t="s">
        <v>107</v>
      </c>
      <c r="B4" s="422"/>
      <c r="C4" s="422"/>
      <c r="D4" s="422"/>
      <c r="E4" s="423"/>
      <c r="F4" s="163"/>
      <c r="G4" s="164" t="s">
        <v>108</v>
      </c>
      <c r="H4" s="269"/>
      <c r="I4" s="421" t="s">
        <v>107</v>
      </c>
      <c r="J4" s="422"/>
      <c r="K4" s="422"/>
      <c r="L4" s="422"/>
      <c r="M4" s="423"/>
      <c r="N4" s="163"/>
      <c r="O4" s="164" t="s">
        <v>109</v>
      </c>
      <c r="P4" s="269"/>
      <c r="Q4" s="111" t="s">
        <v>83</v>
      </c>
      <c r="R4" s="111"/>
      <c r="S4" s="111"/>
      <c r="T4" s="111"/>
      <c r="U4" s="53"/>
      <c r="V4" s="348" t="s">
        <v>19</v>
      </c>
      <c r="W4" s="233" t="s">
        <v>86</v>
      </c>
      <c r="X4" s="284"/>
    </row>
    <row r="5" spans="1:25" ht="21.75" customHeight="1">
      <c r="A5" s="413" t="s">
        <v>315</v>
      </c>
      <c r="B5" s="413"/>
      <c r="C5" s="413"/>
      <c r="D5" s="413"/>
      <c r="E5" s="413"/>
      <c r="F5" s="413"/>
      <c r="G5" s="143"/>
      <c r="H5" s="270">
        <f>8600868.64+399847.18-93000-95400+589446.83+814858.52-542528</f>
        <v>9674093.17</v>
      </c>
      <c r="I5" s="413" t="s">
        <v>315</v>
      </c>
      <c r="J5" s="413"/>
      <c r="K5" s="413"/>
      <c r="L5" s="413"/>
      <c r="M5" s="413"/>
      <c r="N5" s="413"/>
      <c r="O5" s="143"/>
      <c r="P5" s="270">
        <f>648684.68+1258.27-649942.95</f>
        <v>0</v>
      </c>
      <c r="Q5" s="111"/>
      <c r="R5" s="233"/>
      <c r="S5" s="233"/>
      <c r="T5" s="233"/>
      <c r="U5" s="233"/>
      <c r="V5" s="350" t="s">
        <v>317</v>
      </c>
      <c r="W5" s="320">
        <v>43</v>
      </c>
      <c r="X5" s="271">
        <v>43</v>
      </c>
      <c r="Y5" s="220"/>
    </row>
    <row r="6" spans="1:24" ht="21.75" customHeight="1">
      <c r="A6" s="111" t="s">
        <v>83</v>
      </c>
      <c r="B6" s="111"/>
      <c r="C6" s="111"/>
      <c r="D6" s="111"/>
      <c r="E6" s="111"/>
      <c r="F6" s="111"/>
      <c r="G6" s="111"/>
      <c r="H6" s="271"/>
      <c r="I6" s="111" t="s">
        <v>83</v>
      </c>
      <c r="J6" s="111"/>
      <c r="K6" s="111"/>
      <c r="L6" s="111"/>
      <c r="M6" s="111"/>
      <c r="N6" s="111"/>
      <c r="O6" s="111"/>
      <c r="P6" s="272"/>
      <c r="Q6" s="111"/>
      <c r="R6" s="232"/>
      <c r="S6" s="226"/>
      <c r="T6" s="63"/>
      <c r="U6" s="110"/>
      <c r="V6" s="349" t="s">
        <v>290</v>
      </c>
      <c r="W6" s="320">
        <v>0</v>
      </c>
      <c r="X6" s="271">
        <v>0</v>
      </c>
    </row>
    <row r="7" spans="1:24" ht="21.75" customHeight="1">
      <c r="A7" s="111" t="s">
        <v>84</v>
      </c>
      <c r="B7" s="111"/>
      <c r="C7" s="111" t="s">
        <v>85</v>
      </c>
      <c r="D7" s="111"/>
      <c r="E7" s="111"/>
      <c r="F7" s="111"/>
      <c r="G7" s="111"/>
      <c r="H7" s="271"/>
      <c r="I7" s="111" t="s">
        <v>84</v>
      </c>
      <c r="J7" s="111"/>
      <c r="K7" s="111" t="s">
        <v>85</v>
      </c>
      <c r="L7" s="111"/>
      <c r="M7" s="111" t="s">
        <v>86</v>
      </c>
      <c r="N7" s="111"/>
      <c r="O7" s="111"/>
      <c r="P7" s="272"/>
      <c r="Q7" s="53"/>
      <c r="R7" s="233"/>
      <c r="S7" s="233"/>
      <c r="T7" s="233"/>
      <c r="U7" s="233"/>
      <c r="V7" s="351" t="s">
        <v>291</v>
      </c>
      <c r="W7" s="320">
        <v>0</v>
      </c>
      <c r="X7" s="271">
        <v>0</v>
      </c>
    </row>
    <row r="8" spans="1:24" ht="20.25" customHeight="1">
      <c r="A8" s="137"/>
      <c r="B8" s="140"/>
      <c r="C8" s="137" t="s">
        <v>164</v>
      </c>
      <c r="D8" s="111"/>
      <c r="E8" s="139"/>
      <c r="F8" s="111"/>
      <c r="G8" s="111"/>
      <c r="H8" s="260"/>
      <c r="I8" s="165"/>
      <c r="J8" s="416" t="s">
        <v>199</v>
      </c>
      <c r="K8" s="416"/>
      <c r="L8" s="111"/>
      <c r="M8" s="166"/>
      <c r="N8" s="111"/>
      <c r="O8" s="111"/>
      <c r="P8" s="260"/>
      <c r="Q8" s="111" t="s">
        <v>89</v>
      </c>
      <c r="R8" s="232"/>
      <c r="S8" s="226"/>
      <c r="T8" s="63"/>
      <c r="U8" s="110"/>
      <c r="V8" s="133"/>
      <c r="W8" s="2"/>
      <c r="X8" s="271"/>
    </row>
    <row r="9" spans="1:24" ht="19.5" customHeight="1">
      <c r="A9" s="165"/>
      <c r="B9" s="111"/>
      <c r="C9" s="137" t="s">
        <v>87</v>
      </c>
      <c r="D9" s="111"/>
      <c r="E9" s="166"/>
      <c r="F9" s="111"/>
      <c r="G9" s="111"/>
      <c r="H9" s="260"/>
      <c r="I9" s="165"/>
      <c r="J9" s="111"/>
      <c r="K9" s="165"/>
      <c r="L9" s="111"/>
      <c r="M9" s="166"/>
      <c r="N9" s="111"/>
      <c r="O9" s="111"/>
      <c r="P9" s="260"/>
      <c r="Q9" s="53"/>
      <c r="R9" s="233" t="s">
        <v>90</v>
      </c>
      <c r="S9" s="233"/>
      <c r="T9" s="233" t="s">
        <v>91</v>
      </c>
      <c r="U9" s="233"/>
      <c r="V9" s="233" t="s">
        <v>86</v>
      </c>
      <c r="W9" s="2"/>
      <c r="X9" s="280"/>
    </row>
    <row r="10" spans="1:24" ht="19.5" customHeight="1">
      <c r="A10" s="165"/>
      <c r="B10" s="111"/>
      <c r="C10" s="137"/>
      <c r="D10" s="111"/>
      <c r="E10" s="166"/>
      <c r="F10" s="111"/>
      <c r="G10" s="111"/>
      <c r="H10" s="260"/>
      <c r="I10" s="165"/>
      <c r="J10" s="111"/>
      <c r="K10" s="165"/>
      <c r="L10" s="111"/>
      <c r="M10" s="166"/>
      <c r="N10" s="111"/>
      <c r="O10" s="111"/>
      <c r="P10" s="260"/>
      <c r="Q10" s="111"/>
      <c r="R10" s="232">
        <v>241919</v>
      </c>
      <c r="S10" s="1"/>
      <c r="T10" s="63" t="s">
        <v>331</v>
      </c>
      <c r="U10" s="1"/>
      <c r="V10" s="133">
        <v>5500</v>
      </c>
      <c r="W10" s="2"/>
      <c r="X10" s="280"/>
    </row>
    <row r="11" spans="1:24" ht="19.5" customHeight="1">
      <c r="A11" s="165"/>
      <c r="B11" s="111"/>
      <c r="C11" s="137"/>
      <c r="D11" s="111"/>
      <c r="E11" s="166"/>
      <c r="F11" s="111"/>
      <c r="G11" s="111"/>
      <c r="H11" s="260"/>
      <c r="I11" s="165"/>
      <c r="J11" s="111"/>
      <c r="K11" s="165"/>
      <c r="L11" s="111"/>
      <c r="M11" s="166"/>
      <c r="N11" s="111"/>
      <c r="O11" s="111"/>
      <c r="P11" s="260"/>
      <c r="Q11" s="111"/>
      <c r="R11" s="232">
        <v>241926</v>
      </c>
      <c r="S11" s="1"/>
      <c r="T11" s="63" t="s">
        <v>318</v>
      </c>
      <c r="U11" s="1"/>
      <c r="V11" s="133">
        <v>850</v>
      </c>
      <c r="W11" s="2"/>
      <c r="X11" s="282"/>
    </row>
    <row r="12" spans="1:24" ht="19.5" customHeight="1">
      <c r="A12" s="165"/>
      <c r="B12" s="111"/>
      <c r="C12" s="137"/>
      <c r="D12" s="111"/>
      <c r="E12" s="166"/>
      <c r="F12" s="111"/>
      <c r="G12" s="111"/>
      <c r="H12" s="260"/>
      <c r="I12" s="165"/>
      <c r="J12" s="111"/>
      <c r="K12" s="165"/>
      <c r="L12" s="111"/>
      <c r="M12" s="166"/>
      <c r="N12" s="111"/>
      <c r="O12" s="111"/>
      <c r="P12" s="260"/>
      <c r="Q12" s="111"/>
      <c r="R12" s="232">
        <v>241928</v>
      </c>
      <c r="S12" s="110"/>
      <c r="T12" s="63" t="s">
        <v>319</v>
      </c>
      <c r="U12" s="110"/>
      <c r="V12" s="133">
        <v>49500</v>
      </c>
      <c r="W12" s="2"/>
      <c r="X12" s="281"/>
    </row>
    <row r="13" spans="1:24" ht="19.5" customHeight="1">
      <c r="A13" s="165"/>
      <c r="B13" s="111"/>
      <c r="C13" s="137" t="s">
        <v>88</v>
      </c>
      <c r="D13" s="111"/>
      <c r="E13" s="167"/>
      <c r="F13" s="111"/>
      <c r="G13" s="111"/>
      <c r="H13" s="260"/>
      <c r="I13" s="165"/>
      <c r="J13" s="111"/>
      <c r="K13" s="165"/>
      <c r="L13" s="111"/>
      <c r="M13" s="167"/>
      <c r="N13" s="111"/>
      <c r="O13" s="111"/>
      <c r="P13" s="260"/>
      <c r="Q13" s="111"/>
      <c r="R13" s="232">
        <v>241929</v>
      </c>
      <c r="S13" s="110"/>
      <c r="T13" s="63" t="s">
        <v>320</v>
      </c>
      <c r="U13" s="110"/>
      <c r="V13" s="133">
        <v>800</v>
      </c>
      <c r="W13" s="2"/>
      <c r="X13" s="282"/>
    </row>
    <row r="14" spans="1:24" ht="19.5" customHeight="1">
      <c r="A14" s="165"/>
      <c r="B14" s="111"/>
      <c r="C14" s="165"/>
      <c r="D14" s="111"/>
      <c r="E14" s="166"/>
      <c r="F14" s="111"/>
      <c r="G14" s="111"/>
      <c r="H14" s="260"/>
      <c r="I14" s="165"/>
      <c r="J14" s="111"/>
      <c r="K14" s="165"/>
      <c r="L14" s="111"/>
      <c r="M14" s="166"/>
      <c r="N14" s="111"/>
      <c r="O14" s="111"/>
      <c r="P14" s="260"/>
      <c r="Q14" s="111"/>
      <c r="R14" s="232">
        <v>241941</v>
      </c>
      <c r="S14" s="110"/>
      <c r="T14" s="63" t="s">
        <v>321</v>
      </c>
      <c r="U14" s="110"/>
      <c r="V14" s="133">
        <v>6650</v>
      </c>
      <c r="W14" s="2"/>
      <c r="X14" s="283"/>
    </row>
    <row r="15" spans="1:26" ht="21.75" customHeight="1">
      <c r="A15" s="111" t="s">
        <v>89</v>
      </c>
      <c r="B15" s="111"/>
      <c r="C15" s="111"/>
      <c r="D15" s="111"/>
      <c r="E15" s="111"/>
      <c r="F15" s="111"/>
      <c r="G15" s="111"/>
      <c r="H15" s="272"/>
      <c r="I15" s="111" t="s">
        <v>89</v>
      </c>
      <c r="J15" s="111"/>
      <c r="K15" s="111"/>
      <c r="L15" s="111"/>
      <c r="M15" s="111"/>
      <c r="N15" s="111"/>
      <c r="O15" s="111"/>
      <c r="P15" s="272"/>
      <c r="Q15" s="111"/>
      <c r="R15" s="232">
        <v>241941</v>
      </c>
      <c r="S15" s="110"/>
      <c r="T15" s="63" t="s">
        <v>332</v>
      </c>
      <c r="U15" s="110"/>
      <c r="V15" s="133">
        <v>60760</v>
      </c>
      <c r="W15" s="2"/>
      <c r="X15" s="283"/>
      <c r="Z15" s="134" t="s">
        <v>16</v>
      </c>
    </row>
    <row r="16" spans="1:24" ht="21.75" customHeight="1">
      <c r="A16" s="111"/>
      <c r="B16" s="233" t="s">
        <v>90</v>
      </c>
      <c r="C16" s="111"/>
      <c r="D16" s="233" t="s">
        <v>91</v>
      </c>
      <c r="E16" s="111"/>
      <c r="F16" s="233" t="s">
        <v>86</v>
      </c>
      <c r="G16" s="111"/>
      <c r="H16" s="272"/>
      <c r="I16" s="111"/>
      <c r="J16" s="111" t="s">
        <v>90</v>
      </c>
      <c r="K16" s="111"/>
      <c r="L16" s="111" t="s">
        <v>91</v>
      </c>
      <c r="M16" s="111"/>
      <c r="N16" s="111" t="s">
        <v>86</v>
      </c>
      <c r="O16" s="111"/>
      <c r="P16" s="272"/>
      <c r="Q16" s="111"/>
      <c r="R16" s="232">
        <v>241941</v>
      </c>
      <c r="S16" s="110"/>
      <c r="T16" s="63" t="s">
        <v>322</v>
      </c>
      <c r="U16" s="110"/>
      <c r="V16" s="133">
        <v>900</v>
      </c>
      <c r="W16" s="2"/>
      <c r="X16" s="283"/>
    </row>
    <row r="17" spans="1:24" ht="19.5" customHeight="1">
      <c r="A17" s="111"/>
      <c r="B17" s="232"/>
      <c r="C17" s="226"/>
      <c r="D17" s="63"/>
      <c r="E17" s="110"/>
      <c r="F17" s="133"/>
      <c r="G17" s="111"/>
      <c r="H17" s="272"/>
      <c r="I17" s="111"/>
      <c r="J17" s="111"/>
      <c r="K17" s="111"/>
      <c r="L17" s="111"/>
      <c r="M17" s="111"/>
      <c r="N17" s="111"/>
      <c r="O17" s="111"/>
      <c r="P17" s="272"/>
      <c r="Q17" s="1"/>
      <c r="R17" s="232">
        <v>241941</v>
      </c>
      <c r="S17" s="110"/>
      <c r="T17" s="63" t="s">
        <v>323</v>
      </c>
      <c r="U17" s="110"/>
      <c r="V17" s="133">
        <v>3689</v>
      </c>
      <c r="W17" s="2"/>
      <c r="X17" s="273">
        <f>SUM(V10:V26)</f>
        <v>155414.81</v>
      </c>
    </row>
    <row r="18" spans="1:24" ht="19.5" customHeight="1">
      <c r="A18" s="111"/>
      <c r="B18" s="137"/>
      <c r="C18" s="138"/>
      <c r="D18" s="111"/>
      <c r="E18" s="138"/>
      <c r="F18" s="139"/>
      <c r="G18" s="111"/>
      <c r="H18" s="272"/>
      <c r="I18" s="111"/>
      <c r="J18" s="111"/>
      <c r="K18" s="111"/>
      <c r="L18" s="140"/>
      <c r="M18" s="111"/>
      <c r="N18" s="139"/>
      <c r="O18" s="111"/>
      <c r="P18" s="272"/>
      <c r="Q18" s="3"/>
      <c r="R18" s="232">
        <v>241941</v>
      </c>
      <c r="S18" s="110"/>
      <c r="T18" s="63" t="s">
        <v>324</v>
      </c>
      <c r="U18" s="110"/>
      <c r="V18" s="133">
        <v>600</v>
      </c>
      <c r="W18" s="1"/>
      <c r="X18" s="283"/>
    </row>
    <row r="19" spans="1:24" ht="19.5" customHeight="1" thickBot="1">
      <c r="A19" s="111"/>
      <c r="B19" s="137"/>
      <c r="C19" s="138"/>
      <c r="D19" s="111"/>
      <c r="E19" s="138"/>
      <c r="F19" s="139"/>
      <c r="G19" s="111"/>
      <c r="H19" s="260"/>
      <c r="I19" s="111"/>
      <c r="J19" s="111" t="s">
        <v>17</v>
      </c>
      <c r="K19" s="111"/>
      <c r="L19" s="111"/>
      <c r="M19" s="111"/>
      <c r="N19" s="141">
        <f>SUM(N18:N18)</f>
        <v>0</v>
      </c>
      <c r="O19" s="111"/>
      <c r="P19" s="260">
        <f>SUM(N19:O19)</f>
        <v>0</v>
      </c>
      <c r="Q19" s="1"/>
      <c r="R19" s="232">
        <v>241941</v>
      </c>
      <c r="S19" s="110"/>
      <c r="T19" s="63" t="s">
        <v>325</v>
      </c>
      <c r="U19" s="110"/>
      <c r="V19" s="133">
        <v>8000</v>
      </c>
      <c r="W19" s="2"/>
      <c r="X19" s="283"/>
    </row>
    <row r="20" spans="1:24" ht="19.5" customHeight="1" thickTop="1">
      <c r="A20" s="111"/>
      <c r="B20" s="137"/>
      <c r="C20" s="111"/>
      <c r="D20" s="111"/>
      <c r="E20" s="111"/>
      <c r="F20" s="135"/>
      <c r="G20" s="111"/>
      <c r="H20" s="273"/>
      <c r="I20" s="111"/>
      <c r="J20" s="111"/>
      <c r="K20" s="111"/>
      <c r="L20" s="111"/>
      <c r="M20" s="111"/>
      <c r="N20" s="135"/>
      <c r="O20" s="111"/>
      <c r="P20" s="272"/>
      <c r="Q20" s="3"/>
      <c r="R20" s="232">
        <v>241941</v>
      </c>
      <c r="S20" s="110"/>
      <c r="T20" s="63" t="s">
        <v>326</v>
      </c>
      <c r="U20" s="110"/>
      <c r="V20" s="133">
        <v>500</v>
      </c>
      <c r="W20" s="1"/>
      <c r="X20" s="281"/>
    </row>
    <row r="21" spans="1:24" ht="19.5" customHeight="1">
      <c r="A21" s="111"/>
      <c r="B21" s="111"/>
      <c r="C21" s="111"/>
      <c r="D21" s="111"/>
      <c r="E21" s="111"/>
      <c r="F21" s="135"/>
      <c r="G21" s="111"/>
      <c r="H21" s="273"/>
      <c r="I21" s="111"/>
      <c r="J21" s="111"/>
      <c r="K21" s="111"/>
      <c r="L21" s="111"/>
      <c r="M21" s="111"/>
      <c r="N21" s="135"/>
      <c r="O21" s="111"/>
      <c r="P21" s="272"/>
      <c r="Q21" s="111"/>
      <c r="R21" s="232">
        <v>241941</v>
      </c>
      <c r="S21" s="110"/>
      <c r="T21" s="63" t="s">
        <v>327</v>
      </c>
      <c r="U21" s="110"/>
      <c r="V21" s="133">
        <v>3000</v>
      </c>
      <c r="W21" s="2"/>
      <c r="X21" s="283"/>
    </row>
    <row r="22" spans="1:31" ht="19.5" customHeight="1">
      <c r="A22" s="111"/>
      <c r="B22" s="142"/>
      <c r="C22" s="143"/>
      <c r="D22" s="143"/>
      <c r="E22" s="143"/>
      <c r="F22" s="144"/>
      <c r="G22" s="143"/>
      <c r="H22" s="274"/>
      <c r="I22" s="111"/>
      <c r="J22" s="143"/>
      <c r="K22" s="143"/>
      <c r="L22" s="143"/>
      <c r="M22" s="143"/>
      <c r="N22" s="144"/>
      <c r="O22" s="143"/>
      <c r="P22" s="274"/>
      <c r="Q22" s="143"/>
      <c r="R22" s="232">
        <v>241941</v>
      </c>
      <c r="S22" s="1"/>
      <c r="T22" s="63" t="s">
        <v>327</v>
      </c>
      <c r="U22" s="1"/>
      <c r="V22" s="133">
        <v>2600</v>
      </c>
      <c r="W22" s="2"/>
      <c r="X22" s="283"/>
      <c r="AE22" s="131"/>
    </row>
    <row r="23" spans="1:31" ht="19.5" customHeight="1">
      <c r="A23" s="111" t="s">
        <v>92</v>
      </c>
      <c r="B23" s="111"/>
      <c r="C23" s="111" t="s">
        <v>85</v>
      </c>
      <c r="D23" s="111"/>
      <c r="E23" s="111" t="s">
        <v>86</v>
      </c>
      <c r="F23" s="111"/>
      <c r="G23" s="218"/>
      <c r="H23" s="218"/>
      <c r="I23" s="111"/>
      <c r="J23" s="143"/>
      <c r="K23" s="143"/>
      <c r="L23" s="143"/>
      <c r="M23" s="143"/>
      <c r="N23" s="144"/>
      <c r="O23" s="143"/>
      <c r="P23" s="274"/>
      <c r="Q23" s="143"/>
      <c r="R23" s="232">
        <v>241941</v>
      </c>
      <c r="S23" s="1"/>
      <c r="T23" s="63" t="s">
        <v>328</v>
      </c>
      <c r="U23" s="1"/>
      <c r="V23" s="133">
        <v>10766.25</v>
      </c>
      <c r="X23" s="259"/>
      <c r="AE23" s="131"/>
    </row>
    <row r="24" spans="1:31" ht="19.5" customHeight="1">
      <c r="A24" s="111"/>
      <c r="B24" s="168"/>
      <c r="C24" s="137"/>
      <c r="D24" s="111"/>
      <c r="E24" s="139"/>
      <c r="F24" s="169"/>
      <c r="G24" s="218"/>
      <c r="H24" s="275"/>
      <c r="I24" s="111"/>
      <c r="J24" s="143"/>
      <c r="K24" s="143"/>
      <c r="L24" s="143"/>
      <c r="M24" s="143"/>
      <c r="N24" s="144"/>
      <c r="O24" s="143"/>
      <c r="P24" s="274"/>
      <c r="Q24" s="143"/>
      <c r="R24" s="232">
        <v>241941</v>
      </c>
      <c r="S24" s="143"/>
      <c r="T24" s="63" t="s">
        <v>329</v>
      </c>
      <c r="U24" s="143"/>
      <c r="V24" s="238">
        <v>687.94</v>
      </c>
      <c r="W24" s="225"/>
      <c r="X24" s="284"/>
      <c r="AE24" s="131"/>
    </row>
    <row r="25" spans="1:24" s="1" customFormat="1" ht="19.5" customHeight="1">
      <c r="A25" s="111" t="s">
        <v>255</v>
      </c>
      <c r="B25" s="111"/>
      <c r="C25" s="111"/>
      <c r="D25" s="111"/>
      <c r="E25" s="111" t="s">
        <v>94</v>
      </c>
      <c r="F25" s="311"/>
      <c r="G25" s="218"/>
      <c r="H25" s="310"/>
      <c r="J25" s="145"/>
      <c r="K25" s="145"/>
      <c r="L25" s="145"/>
      <c r="M25" s="145"/>
      <c r="N25" s="146"/>
      <c r="O25" s="145"/>
      <c r="P25" s="277"/>
      <c r="Q25" s="143"/>
      <c r="R25" s="232">
        <v>241941</v>
      </c>
      <c r="S25" s="143"/>
      <c r="T25" s="63" t="s">
        <v>329</v>
      </c>
      <c r="U25" s="143"/>
      <c r="V25" s="238">
        <v>110.24</v>
      </c>
      <c r="W25" s="237"/>
      <c r="X25" s="315"/>
    </row>
    <row r="26" spans="1:26" ht="19.5" customHeight="1">
      <c r="A26" s="111" t="s">
        <v>84</v>
      </c>
      <c r="B26" s="111"/>
      <c r="C26" s="111" t="s">
        <v>85</v>
      </c>
      <c r="D26" s="111"/>
      <c r="E26" s="111"/>
      <c r="F26" s="111"/>
      <c r="G26" s="111"/>
      <c r="H26" s="271"/>
      <c r="I26" s="111"/>
      <c r="J26" s="111"/>
      <c r="K26" s="111"/>
      <c r="L26" s="111"/>
      <c r="M26" s="111"/>
      <c r="N26" s="111"/>
      <c r="O26" s="111"/>
      <c r="P26" s="272"/>
      <c r="Q26" s="143"/>
      <c r="R26" s="232">
        <v>241941</v>
      </c>
      <c r="S26" s="143"/>
      <c r="T26" s="63" t="s">
        <v>329</v>
      </c>
      <c r="U26" s="143"/>
      <c r="V26" s="320">
        <v>501.38</v>
      </c>
      <c r="W26" s="237"/>
      <c r="X26" s="315"/>
      <c r="Z26" s="2"/>
    </row>
    <row r="27" spans="1:26" ht="19.5" customHeight="1">
      <c r="A27" s="419"/>
      <c r="B27" s="420"/>
      <c r="C27" s="419"/>
      <c r="D27" s="420"/>
      <c r="E27" s="139"/>
      <c r="F27" s="111"/>
      <c r="G27" s="218"/>
      <c r="H27" s="271"/>
      <c r="I27" s="111" t="s">
        <v>92</v>
      </c>
      <c r="J27" s="111"/>
      <c r="K27" s="111" t="s">
        <v>85</v>
      </c>
      <c r="L27" s="111"/>
      <c r="M27" s="111" t="s">
        <v>86</v>
      </c>
      <c r="N27" s="111"/>
      <c r="O27" s="111"/>
      <c r="P27" s="272"/>
      <c r="Q27" s="111"/>
      <c r="R27" s="232"/>
      <c r="S27" s="1"/>
      <c r="T27" s="63"/>
      <c r="U27" s="1"/>
      <c r="V27" s="323"/>
      <c r="X27" s="259"/>
      <c r="Z27" s="2"/>
    </row>
    <row r="28" spans="1:26" ht="19.5" customHeight="1">
      <c r="A28" s="111"/>
      <c r="B28" s="168"/>
      <c r="C28" s="137"/>
      <c r="D28" s="111"/>
      <c r="E28" s="139"/>
      <c r="F28" s="169"/>
      <c r="G28" s="218"/>
      <c r="H28" s="275"/>
      <c r="I28" s="111"/>
      <c r="J28" s="111"/>
      <c r="K28" s="137"/>
      <c r="L28" s="111"/>
      <c r="M28" s="139"/>
      <c r="N28" s="169"/>
      <c r="O28" s="111"/>
      <c r="P28" s="278">
        <f>SUM(M28:M28)</f>
        <v>0</v>
      </c>
      <c r="Q28" s="111"/>
      <c r="R28" s="232"/>
      <c r="S28" s="1"/>
      <c r="T28" s="63"/>
      <c r="U28" s="1"/>
      <c r="V28" s="323"/>
      <c r="X28" s="256"/>
      <c r="Z28" s="220"/>
    </row>
    <row r="29" spans="1:24" ht="19.5" customHeight="1">
      <c r="A29" s="111"/>
      <c r="B29" s="111"/>
      <c r="C29" s="111"/>
      <c r="D29" s="111"/>
      <c r="E29" s="111"/>
      <c r="F29" s="111"/>
      <c r="G29" s="218"/>
      <c r="H29" s="218"/>
      <c r="I29" s="111"/>
      <c r="J29" s="111"/>
      <c r="K29" s="111"/>
      <c r="L29" s="111"/>
      <c r="M29" s="111"/>
      <c r="N29" s="111"/>
      <c r="O29" s="111"/>
      <c r="P29" s="272"/>
      <c r="Q29" s="111" t="s">
        <v>276</v>
      </c>
      <c r="R29" s="232"/>
      <c r="S29" s="1"/>
      <c r="T29" s="63" t="s">
        <v>277</v>
      </c>
      <c r="U29" s="1"/>
      <c r="V29" s="323" t="s">
        <v>278</v>
      </c>
      <c r="W29" s="324"/>
      <c r="X29" s="258"/>
    </row>
    <row r="30" spans="1:24" ht="23.25" customHeight="1">
      <c r="A30" s="111"/>
      <c r="B30" s="111"/>
      <c r="C30" s="111"/>
      <c r="D30" s="111"/>
      <c r="E30" s="111"/>
      <c r="F30" s="111"/>
      <c r="G30" s="111"/>
      <c r="H30" s="271"/>
      <c r="I30" s="111" t="s">
        <v>95</v>
      </c>
      <c r="J30" s="111"/>
      <c r="K30" s="111"/>
      <c r="L30" s="111"/>
      <c r="M30" s="111"/>
      <c r="N30" s="111"/>
      <c r="O30" s="111"/>
      <c r="P30" s="279"/>
      <c r="Q30" s="111"/>
      <c r="R30" s="233" t="s">
        <v>90</v>
      </c>
      <c r="S30" s="233" t="s">
        <v>91</v>
      </c>
      <c r="T30" s="233" t="s">
        <v>86</v>
      </c>
      <c r="U30" s="236"/>
      <c r="V30" s="233" t="s">
        <v>86</v>
      </c>
      <c r="W30" s="322"/>
      <c r="X30" s="282"/>
    </row>
    <row r="31" spans="1:24" ht="19.5" customHeight="1">
      <c r="A31" s="417"/>
      <c r="B31" s="418"/>
      <c r="C31" s="417"/>
      <c r="D31" s="418"/>
      <c r="E31" s="139"/>
      <c r="F31" s="111"/>
      <c r="G31" s="218"/>
      <c r="H31" s="271"/>
      <c r="I31" s="111"/>
      <c r="J31" s="171"/>
      <c r="K31" s="111"/>
      <c r="L31" s="111"/>
      <c r="M31" s="111"/>
      <c r="N31" s="172"/>
      <c r="O31" s="111"/>
      <c r="P31" s="272"/>
      <c r="Q31" s="111" t="s">
        <v>279</v>
      </c>
      <c r="R31" s="232"/>
      <c r="S31" s="63"/>
      <c r="T31" s="133"/>
      <c r="U31" s="110"/>
      <c r="V31" s="133"/>
      <c r="W31" s="237"/>
      <c r="X31" s="256"/>
    </row>
    <row r="32" spans="1:25" ht="23.25" customHeight="1" thickBot="1">
      <c r="A32" s="414" t="s">
        <v>316</v>
      </c>
      <c r="B32" s="414"/>
      <c r="C32" s="414"/>
      <c r="D32" s="414"/>
      <c r="E32" s="414"/>
      <c r="F32" s="227"/>
      <c r="G32" s="227"/>
      <c r="H32" s="352">
        <f>8600868.64+399847.18-93000-95400+589446.83+814858.52-542528</f>
        <v>9674093.17</v>
      </c>
      <c r="I32" s="414" t="s">
        <v>316</v>
      </c>
      <c r="J32" s="414"/>
      <c r="K32" s="414"/>
      <c r="L32" s="414"/>
      <c r="M32" s="414"/>
      <c r="N32" s="227"/>
      <c r="O32" s="227"/>
      <c r="P32" s="276">
        <f>SUM(P5-P8+P28-N31)</f>
        <v>0</v>
      </c>
      <c r="Q32" s="328" t="s">
        <v>316</v>
      </c>
      <c r="R32" s="328"/>
      <c r="S32" s="328"/>
      <c r="T32" s="328"/>
      <c r="U32" s="328"/>
      <c r="V32" s="329"/>
      <c r="W32" s="329"/>
      <c r="X32" s="330">
        <f>SUM(X3-X5)+X26+X30-X17</f>
        <v>6601356.640000001</v>
      </c>
      <c r="Y32" s="173"/>
    </row>
    <row r="33" spans="1:26" ht="24.75" customHeight="1">
      <c r="A33" s="285" t="s">
        <v>96</v>
      </c>
      <c r="B33" s="285"/>
      <c r="C33" s="285"/>
      <c r="D33" s="285"/>
      <c r="E33" s="285" t="s">
        <v>97</v>
      </c>
      <c r="F33" s="285"/>
      <c r="G33" s="143"/>
      <c r="H33" s="143"/>
      <c r="I33" s="285" t="s">
        <v>96</v>
      </c>
      <c r="J33" s="285"/>
      <c r="K33" s="285"/>
      <c r="L33" s="285"/>
      <c r="M33" s="285" t="s">
        <v>97</v>
      </c>
      <c r="N33" s="285"/>
      <c r="O33" s="143"/>
      <c r="P33" s="143"/>
      <c r="Q33" s="143" t="s">
        <v>96</v>
      </c>
      <c r="R33" s="285"/>
      <c r="S33" s="285"/>
      <c r="T33" s="285"/>
      <c r="U33" s="143" t="s">
        <v>97</v>
      </c>
      <c r="V33" s="285"/>
      <c r="W33" s="143"/>
      <c r="X33" s="143"/>
      <c r="Y33" s="112"/>
      <c r="Z33" s="112">
        <v>6601968.26</v>
      </c>
    </row>
    <row r="34" spans="1:27" ht="19.5" customHeight="1">
      <c r="A34" s="409" t="s">
        <v>256</v>
      </c>
      <c r="B34" s="409"/>
      <c r="C34" s="409"/>
      <c r="D34" s="143"/>
      <c r="E34" s="409" t="s">
        <v>258</v>
      </c>
      <c r="F34" s="409"/>
      <c r="G34" s="409"/>
      <c r="H34" s="143"/>
      <c r="I34" s="409" t="s">
        <v>256</v>
      </c>
      <c r="J34" s="409"/>
      <c r="K34" s="409"/>
      <c r="L34" s="143"/>
      <c r="M34" s="409" t="s">
        <v>258</v>
      </c>
      <c r="N34" s="409"/>
      <c r="O34" s="409"/>
      <c r="P34" s="143"/>
      <c r="Q34" s="409" t="s">
        <v>256</v>
      </c>
      <c r="R34" s="409"/>
      <c r="S34" s="409"/>
      <c r="T34" s="143"/>
      <c r="U34" s="409" t="s">
        <v>258</v>
      </c>
      <c r="V34" s="409"/>
      <c r="W34" s="409"/>
      <c r="X34" s="143"/>
      <c r="Z34" s="112">
        <v>6601356.64</v>
      </c>
      <c r="AA34" s="347" t="s">
        <v>330</v>
      </c>
    </row>
    <row r="35" spans="1:26" ht="21.75" customHeight="1">
      <c r="A35" s="410" t="s">
        <v>167</v>
      </c>
      <c r="B35" s="410"/>
      <c r="C35" s="410"/>
      <c r="D35" s="143"/>
      <c r="E35" s="411" t="s">
        <v>116</v>
      </c>
      <c r="F35" s="411"/>
      <c r="G35" s="411"/>
      <c r="H35" s="143"/>
      <c r="I35" s="410" t="s">
        <v>167</v>
      </c>
      <c r="J35" s="410"/>
      <c r="K35" s="410"/>
      <c r="L35" s="143"/>
      <c r="M35" s="411" t="s">
        <v>116</v>
      </c>
      <c r="N35" s="411"/>
      <c r="O35" s="411"/>
      <c r="P35" s="143"/>
      <c r="Q35" s="410" t="s">
        <v>167</v>
      </c>
      <c r="R35" s="410"/>
      <c r="S35" s="410"/>
      <c r="T35" s="143"/>
      <c r="U35" s="411" t="s">
        <v>116</v>
      </c>
      <c r="V35" s="411"/>
      <c r="W35" s="411"/>
      <c r="X35" s="143"/>
      <c r="Y35" s="112"/>
      <c r="Z35" s="112">
        <f>SUM(Z33-Z34)</f>
        <v>611.6200000001118</v>
      </c>
    </row>
    <row r="36" spans="1:25" ht="21" customHeight="1">
      <c r="A36" s="410" t="s">
        <v>257</v>
      </c>
      <c r="B36" s="410"/>
      <c r="C36" s="410"/>
      <c r="D36" s="143"/>
      <c r="E36" s="411" t="s">
        <v>120</v>
      </c>
      <c r="F36" s="411"/>
      <c r="G36" s="411"/>
      <c r="H36" s="143"/>
      <c r="I36" s="410" t="s">
        <v>257</v>
      </c>
      <c r="J36" s="410"/>
      <c r="K36" s="410"/>
      <c r="L36" s="143"/>
      <c r="M36" s="411" t="s">
        <v>120</v>
      </c>
      <c r="N36" s="411"/>
      <c r="O36" s="411"/>
      <c r="P36" s="143"/>
      <c r="Q36" s="410" t="s">
        <v>257</v>
      </c>
      <c r="R36" s="410"/>
      <c r="S36" s="410"/>
      <c r="T36" s="143"/>
      <c r="U36" s="411" t="s">
        <v>120</v>
      </c>
      <c r="V36" s="411"/>
      <c r="W36" s="411"/>
      <c r="X36" s="143"/>
      <c r="Y36" s="173"/>
    </row>
    <row r="37" spans="5:26" ht="19.5" customHeight="1">
      <c r="E37" s="411" t="s">
        <v>119</v>
      </c>
      <c r="F37" s="411"/>
      <c r="G37" s="411"/>
      <c r="M37" s="411" t="s">
        <v>119</v>
      </c>
      <c r="N37" s="411"/>
      <c r="O37" s="411"/>
      <c r="U37" s="411" t="s">
        <v>119</v>
      </c>
      <c r="V37" s="411"/>
      <c r="W37" s="411"/>
      <c r="Z37" s="173"/>
    </row>
    <row r="38" spans="5:24" ht="18.75" customHeight="1">
      <c r="E38" s="143"/>
      <c r="M38" s="143"/>
      <c r="Q38" s="174"/>
      <c r="R38" s="174"/>
      <c r="S38" s="174"/>
      <c r="T38" s="174"/>
      <c r="U38" s="125"/>
      <c r="V38" s="160"/>
      <c r="W38" s="174"/>
      <c r="X38" s="174"/>
    </row>
    <row r="39" spans="5:24" ht="18.75" customHeight="1">
      <c r="E39" s="143"/>
      <c r="M39" s="143"/>
      <c r="Q39" s="216"/>
      <c r="R39" s="312"/>
      <c r="S39" s="226"/>
      <c r="T39" s="133"/>
      <c r="U39" s="110"/>
      <c r="V39" s="133"/>
      <c r="W39" s="174"/>
      <c r="X39" s="174"/>
    </row>
    <row r="40" spans="1:24" ht="27.75" customHeight="1" thickBot="1">
      <c r="A40" s="252"/>
      <c r="B40" s="252"/>
      <c r="C40" s="252"/>
      <c r="D40" s="252"/>
      <c r="E40" s="161"/>
      <c r="F40" s="252"/>
      <c r="G40" s="252"/>
      <c r="H40" s="252"/>
      <c r="M40" s="143"/>
      <c r="Q40" s="125"/>
      <c r="R40" s="3"/>
      <c r="S40" s="3"/>
      <c r="T40" s="3"/>
      <c r="U40" s="125"/>
      <c r="V40" s="3"/>
      <c r="W40" s="125"/>
      <c r="X40" s="125"/>
    </row>
    <row r="41" spans="1:24" ht="21.75" customHeight="1">
      <c r="A41" s="125" t="s">
        <v>80</v>
      </c>
      <c r="B41" s="216"/>
      <c r="C41" s="216"/>
      <c r="D41" s="216"/>
      <c r="E41" s="218"/>
      <c r="F41" s="216"/>
      <c r="G41" s="125" t="s">
        <v>251</v>
      </c>
      <c r="H41" s="268"/>
      <c r="Q41" s="412"/>
      <c r="R41" s="412"/>
      <c r="S41" s="412"/>
      <c r="T41" s="125"/>
      <c r="U41" s="412"/>
      <c r="V41" s="412"/>
      <c r="W41" s="412"/>
      <c r="X41" s="125"/>
    </row>
    <row r="42" spans="1:24" ht="21.75" customHeight="1" thickBot="1">
      <c r="A42" s="421" t="s">
        <v>107</v>
      </c>
      <c r="B42" s="421"/>
      <c r="C42" s="421"/>
      <c r="D42" s="421"/>
      <c r="E42" s="424"/>
      <c r="F42" s="163"/>
      <c r="G42" s="164" t="s">
        <v>252</v>
      </c>
      <c r="H42" s="269"/>
      <c r="Q42" s="415"/>
      <c r="R42" s="415"/>
      <c r="S42" s="415"/>
      <c r="T42" s="125"/>
      <c r="U42" s="408"/>
      <c r="V42" s="408"/>
      <c r="W42" s="408"/>
      <c r="X42" s="125"/>
    </row>
    <row r="43" spans="1:24" ht="21.75" customHeight="1">
      <c r="A43" s="413" t="s">
        <v>315</v>
      </c>
      <c r="B43" s="413"/>
      <c r="C43" s="413"/>
      <c r="D43" s="413"/>
      <c r="E43" s="413"/>
      <c r="F43" s="413"/>
      <c r="G43" s="143"/>
      <c r="H43" s="270">
        <f>138038.31-5650-1203-3000+824.33-1000-6100-42102.8-1200-397.2-6100-9900</f>
        <v>62209.64</v>
      </c>
      <c r="Q43" s="415"/>
      <c r="R43" s="415"/>
      <c r="S43" s="415"/>
      <c r="T43" s="125"/>
      <c r="U43" s="408"/>
      <c r="V43" s="408"/>
      <c r="W43" s="408"/>
      <c r="X43" s="125"/>
    </row>
    <row r="44" spans="1:24" ht="21.75" customHeight="1">
      <c r="A44" s="111" t="s">
        <v>83</v>
      </c>
      <c r="B44" s="111"/>
      <c r="C44" s="111"/>
      <c r="D44" s="111"/>
      <c r="E44" s="111"/>
      <c r="F44" s="111"/>
      <c r="G44" s="111"/>
      <c r="H44" s="271"/>
      <c r="Q44" s="174"/>
      <c r="R44" s="174"/>
      <c r="S44" s="174"/>
      <c r="T44" s="174"/>
      <c r="U44" s="408"/>
      <c r="V44" s="408"/>
      <c r="W44" s="408"/>
      <c r="X44" s="174"/>
    </row>
    <row r="45" spans="1:24" ht="21.75" customHeight="1">
      <c r="A45" s="111" t="s">
        <v>84</v>
      </c>
      <c r="B45" s="111"/>
      <c r="C45" s="111" t="s">
        <v>85</v>
      </c>
      <c r="D45" s="111"/>
      <c r="E45" s="111"/>
      <c r="F45" s="111"/>
      <c r="G45" s="111"/>
      <c r="H45" s="272"/>
      <c r="Q45" s="125"/>
      <c r="R45" s="125"/>
      <c r="S45" s="125"/>
      <c r="T45" s="125"/>
      <c r="U45" s="125"/>
      <c r="V45" s="125"/>
      <c r="W45" s="125"/>
      <c r="X45" s="125"/>
    </row>
    <row r="46" spans="1:24" ht="22.5" customHeight="1">
      <c r="A46" s="137"/>
      <c r="B46" s="140"/>
      <c r="C46" s="137"/>
      <c r="D46" s="111"/>
      <c r="E46" s="139"/>
      <c r="F46" s="111"/>
      <c r="G46" s="111"/>
      <c r="H46" s="260"/>
      <c r="Q46" s="125"/>
      <c r="R46" s="267"/>
      <c r="S46" s="125"/>
      <c r="T46" s="63"/>
      <c r="U46" s="125"/>
      <c r="V46" s="215"/>
      <c r="W46" s="125"/>
      <c r="X46" s="255"/>
    </row>
    <row r="47" spans="1:24" ht="24.75" customHeight="1">
      <c r="A47" s="165"/>
      <c r="B47" s="111"/>
      <c r="C47" s="137"/>
      <c r="D47" s="111"/>
      <c r="E47" s="137" t="s">
        <v>87</v>
      </c>
      <c r="F47" s="111"/>
      <c r="G47" s="111" t="s">
        <v>86</v>
      </c>
      <c r="H47" s="260">
        <v>0</v>
      </c>
      <c r="Q47" s="125"/>
      <c r="R47" s="267"/>
      <c r="S47" s="125"/>
      <c r="T47" s="63"/>
      <c r="U47" s="125"/>
      <c r="V47" s="238"/>
      <c r="W47" s="125"/>
      <c r="X47" s="125"/>
    </row>
    <row r="48" spans="1:24" ht="19.5" customHeight="1">
      <c r="A48" s="165"/>
      <c r="B48" s="111"/>
      <c r="C48" s="137"/>
      <c r="D48" s="111"/>
      <c r="E48" s="166"/>
      <c r="F48" s="111"/>
      <c r="G48" s="111"/>
      <c r="H48" s="260"/>
      <c r="Q48" s="125"/>
      <c r="R48" s="267"/>
      <c r="S48" s="125"/>
      <c r="T48" s="63"/>
      <c r="U48" s="125"/>
      <c r="V48" s="215"/>
      <c r="W48" s="125"/>
      <c r="X48" s="125"/>
    </row>
    <row r="49" spans="1:24" ht="19.5" customHeight="1">
      <c r="A49" s="165"/>
      <c r="B49" s="111"/>
      <c r="C49" s="137"/>
      <c r="D49" s="111"/>
      <c r="E49" s="166"/>
      <c r="F49" s="111"/>
      <c r="G49" s="111"/>
      <c r="H49" s="260"/>
      <c r="Q49" s="125"/>
      <c r="R49" s="267"/>
      <c r="S49" s="125"/>
      <c r="T49" s="63"/>
      <c r="U49" s="125"/>
      <c r="V49" s="215"/>
      <c r="W49" s="125"/>
      <c r="X49" s="255"/>
    </row>
    <row r="50" spans="1:24" ht="19.5" customHeight="1">
      <c r="A50" s="165"/>
      <c r="B50" s="111"/>
      <c r="C50" s="137"/>
      <c r="D50" s="111"/>
      <c r="E50" s="167"/>
      <c r="F50" s="111"/>
      <c r="G50" s="111"/>
      <c r="H50" s="260"/>
      <c r="Q50" s="125"/>
      <c r="R50" s="267"/>
      <c r="S50" s="125"/>
      <c r="T50" s="63"/>
      <c r="U50" s="125"/>
      <c r="V50" s="238"/>
      <c r="W50" s="125"/>
      <c r="X50" s="125"/>
    </row>
    <row r="51" spans="1:24" ht="19.5" customHeight="1">
      <c r="A51" s="111" t="s">
        <v>89</v>
      </c>
      <c r="B51" s="111"/>
      <c r="C51" s="165"/>
      <c r="D51" s="111"/>
      <c r="E51" s="166"/>
      <c r="F51" s="111"/>
      <c r="G51" s="111"/>
      <c r="H51" s="260"/>
      <c r="Q51" s="318"/>
      <c r="R51" s="318"/>
      <c r="S51" s="318"/>
      <c r="T51" s="318"/>
      <c r="U51" s="318"/>
      <c r="V51" s="125"/>
      <c r="W51" s="125"/>
      <c r="X51" s="255"/>
    </row>
    <row r="52" spans="1:24" ht="21.75" customHeight="1">
      <c r="A52" s="111"/>
      <c r="B52" s="111"/>
      <c r="C52" s="111"/>
      <c r="D52" s="111"/>
      <c r="E52" s="111"/>
      <c r="F52" s="111"/>
      <c r="G52" s="111"/>
      <c r="H52" s="272"/>
      <c r="Q52" s="125"/>
      <c r="R52" s="125"/>
      <c r="S52" s="125"/>
      <c r="T52" s="125"/>
      <c r="U52" s="125"/>
      <c r="V52" s="160"/>
      <c r="W52" s="125"/>
      <c r="X52" s="125"/>
    </row>
    <row r="53" spans="1:24" ht="19.5" customHeight="1">
      <c r="A53" s="111"/>
      <c r="B53" s="233" t="s">
        <v>90</v>
      </c>
      <c r="C53" s="111"/>
      <c r="D53" s="233" t="s">
        <v>91</v>
      </c>
      <c r="E53" s="111"/>
      <c r="F53" s="233" t="s">
        <v>86</v>
      </c>
      <c r="G53" s="111"/>
      <c r="H53" s="272"/>
      <c r="Q53" s="174"/>
      <c r="R53" s="174"/>
      <c r="S53" s="174"/>
      <c r="T53" s="174"/>
      <c r="U53" s="125"/>
      <c r="V53" s="160"/>
      <c r="W53" s="174"/>
      <c r="X53" s="174"/>
    </row>
    <row r="54" spans="1:24" ht="19.5" customHeight="1">
      <c r="A54" s="111"/>
      <c r="B54" s="232">
        <v>241938</v>
      </c>
      <c r="C54" s="63"/>
      <c r="D54" s="233">
        <v>10052446</v>
      </c>
      <c r="E54" s="110"/>
      <c r="F54" s="321">
        <v>6100</v>
      </c>
      <c r="G54" s="111"/>
      <c r="H54" s="282">
        <v>6100</v>
      </c>
      <c r="Q54" s="216"/>
      <c r="R54" s="312"/>
      <c r="S54" s="226"/>
      <c r="T54" s="133"/>
      <c r="U54" s="110"/>
      <c r="V54" s="133"/>
      <c r="W54" s="174"/>
      <c r="X54" s="174"/>
    </row>
    <row r="55" spans="1:24" ht="19.5" customHeight="1">
      <c r="A55" s="111"/>
      <c r="B55" s="137"/>
      <c r="C55" s="138"/>
      <c r="D55" s="111"/>
      <c r="E55" s="138"/>
      <c r="F55" s="139"/>
      <c r="G55" s="111"/>
      <c r="H55" s="272"/>
      <c r="Q55" s="143"/>
      <c r="R55" s="285"/>
      <c r="S55" s="285"/>
      <c r="T55" s="285"/>
      <c r="U55" s="143"/>
      <c r="V55" s="285"/>
      <c r="W55" s="143"/>
      <c r="X55" s="143"/>
    </row>
    <row r="56" spans="1:24" ht="19.5" customHeight="1">
      <c r="A56" s="111"/>
      <c r="B56" s="137"/>
      <c r="C56" s="138"/>
      <c r="D56" s="111"/>
      <c r="E56" s="138"/>
      <c r="F56" s="139"/>
      <c r="G56" s="111"/>
      <c r="H56" s="260"/>
      <c r="Q56" s="409"/>
      <c r="R56" s="409"/>
      <c r="S56" s="409"/>
      <c r="T56" s="143"/>
      <c r="U56" s="409"/>
      <c r="V56" s="409"/>
      <c r="W56" s="409"/>
      <c r="X56" s="143"/>
    </row>
    <row r="57" spans="1:24" ht="19.5" customHeight="1">
      <c r="A57" s="111"/>
      <c r="B57" s="137"/>
      <c r="C57" s="111"/>
      <c r="D57" s="111"/>
      <c r="E57" s="111"/>
      <c r="F57" s="135"/>
      <c r="G57" s="111"/>
      <c r="H57" s="273"/>
      <c r="Q57" s="410"/>
      <c r="R57" s="410"/>
      <c r="S57" s="410"/>
      <c r="T57" s="143"/>
      <c r="U57" s="411"/>
      <c r="V57" s="411"/>
      <c r="W57" s="411"/>
      <c r="X57" s="143"/>
    </row>
    <row r="58" spans="1:24" ht="19.5" customHeight="1">
      <c r="A58" s="111"/>
      <c r="B58" s="111"/>
      <c r="C58" s="111"/>
      <c r="D58" s="111"/>
      <c r="E58" s="111"/>
      <c r="F58" s="135"/>
      <c r="G58" s="111"/>
      <c r="H58" s="273"/>
      <c r="Q58" s="410"/>
      <c r="R58" s="410"/>
      <c r="S58" s="410"/>
      <c r="T58" s="143"/>
      <c r="U58" s="411"/>
      <c r="V58" s="411"/>
      <c r="W58" s="411"/>
      <c r="X58" s="143"/>
    </row>
    <row r="59" spans="1:23" ht="19.5" customHeight="1">
      <c r="A59" s="111"/>
      <c r="B59" s="111"/>
      <c r="C59" s="111"/>
      <c r="D59" s="111"/>
      <c r="E59" s="111"/>
      <c r="F59" s="144"/>
      <c r="G59" s="143"/>
      <c r="H59" s="274"/>
      <c r="U59" s="411"/>
      <c r="V59" s="411"/>
      <c r="W59" s="411"/>
    </row>
    <row r="60" spans="1:24" ht="19.5" customHeight="1">
      <c r="A60" s="111"/>
      <c r="B60" s="168"/>
      <c r="C60" s="137"/>
      <c r="D60" s="111"/>
      <c r="E60" s="139"/>
      <c r="F60" s="144"/>
      <c r="G60" s="143"/>
      <c r="H60" s="274"/>
      <c r="Q60" s="125"/>
      <c r="R60" s="125"/>
      <c r="S60" s="125"/>
      <c r="T60" s="125"/>
      <c r="U60" s="125"/>
      <c r="V60" s="125"/>
      <c r="W60" s="125"/>
      <c r="X60" s="125"/>
    </row>
    <row r="61" spans="1:24" ht="19.5" customHeight="1">
      <c r="A61" s="111"/>
      <c r="B61" s="111"/>
      <c r="C61" s="111"/>
      <c r="D61" s="111"/>
      <c r="E61" s="111"/>
      <c r="F61" s="144"/>
      <c r="G61" s="143"/>
      <c r="H61" s="274"/>
      <c r="Q61" s="125"/>
      <c r="R61" s="125"/>
      <c r="S61" s="125"/>
      <c r="T61" s="125"/>
      <c r="U61" s="125"/>
      <c r="V61" s="125"/>
      <c r="W61" s="125"/>
      <c r="X61" s="125"/>
    </row>
    <row r="62" spans="1:24" ht="19.5" customHeight="1">
      <c r="A62" s="111" t="s">
        <v>93</v>
      </c>
      <c r="B62" s="111"/>
      <c r="C62" s="111"/>
      <c r="D62" s="111"/>
      <c r="E62" s="233" t="s">
        <v>94</v>
      </c>
      <c r="F62" s="146"/>
      <c r="G62" s="217"/>
      <c r="H62" s="277"/>
      <c r="Q62" s="125"/>
      <c r="R62" s="125"/>
      <c r="S62" s="125"/>
      <c r="T62" s="125"/>
      <c r="U62" s="125"/>
      <c r="V62" s="125"/>
      <c r="W62" s="125"/>
      <c r="X62" s="125"/>
    </row>
    <row r="63" spans="1:24" ht="19.5" customHeight="1">
      <c r="A63" s="111"/>
      <c r="B63" s="111"/>
      <c r="C63" s="111"/>
      <c r="D63" s="111"/>
      <c r="E63" s="111"/>
      <c r="F63" s="111"/>
      <c r="G63" s="218"/>
      <c r="H63" s="271"/>
      <c r="Q63" s="125"/>
      <c r="R63" s="125"/>
      <c r="S63" s="125"/>
      <c r="T63" s="125"/>
      <c r="U63" s="125"/>
      <c r="V63" s="125"/>
      <c r="W63" s="125"/>
      <c r="X63" s="125"/>
    </row>
    <row r="64" spans="1:26" ht="19.5" customHeight="1">
      <c r="A64" s="111"/>
      <c r="B64" s="111"/>
      <c r="C64" s="111"/>
      <c r="D64" s="111"/>
      <c r="E64" s="111"/>
      <c r="F64" s="111"/>
      <c r="G64" s="218"/>
      <c r="H64" s="272"/>
      <c r="Q64" s="125"/>
      <c r="R64" s="125"/>
      <c r="S64" s="125"/>
      <c r="T64" s="125"/>
      <c r="U64" s="125"/>
      <c r="V64" s="160"/>
      <c r="W64" s="125"/>
      <c r="X64" s="125"/>
      <c r="Z64" s="173"/>
    </row>
    <row r="65" spans="1:24" ht="19.5" customHeight="1">
      <c r="A65" s="111"/>
      <c r="B65" s="168"/>
      <c r="C65" s="137"/>
      <c r="D65" s="111"/>
      <c r="E65" s="139"/>
      <c r="F65" s="169"/>
      <c r="G65" s="218"/>
      <c r="H65" s="278"/>
      <c r="Q65" s="125"/>
      <c r="R65" s="125"/>
      <c r="S65" s="125"/>
      <c r="T65" s="125"/>
      <c r="U65" s="125"/>
      <c r="V65" s="160"/>
      <c r="W65" s="125"/>
      <c r="X65" s="125"/>
    </row>
    <row r="66" spans="1:24" ht="19.5" customHeight="1">
      <c r="A66" s="111"/>
      <c r="B66" s="111"/>
      <c r="C66" s="111"/>
      <c r="D66" s="111"/>
      <c r="E66" s="111"/>
      <c r="F66" s="111"/>
      <c r="G66" s="218"/>
      <c r="H66" s="272"/>
      <c r="Q66" s="174"/>
      <c r="R66" s="174"/>
      <c r="S66" s="174"/>
      <c r="T66" s="174"/>
      <c r="U66" s="125"/>
      <c r="V66" s="160"/>
      <c r="W66" s="174"/>
      <c r="X66" s="174"/>
    </row>
    <row r="67" spans="1:32" ht="19.5" customHeight="1">
      <c r="A67" s="111"/>
      <c r="B67" s="111"/>
      <c r="C67" s="111"/>
      <c r="D67" s="111"/>
      <c r="E67" s="111"/>
      <c r="F67" s="111"/>
      <c r="G67" s="218"/>
      <c r="H67" s="279"/>
      <c r="Q67" s="174"/>
      <c r="R67" s="174"/>
      <c r="S67" s="174"/>
      <c r="T67" s="174"/>
      <c r="U67" s="174"/>
      <c r="V67" s="174"/>
      <c r="W67" s="174"/>
      <c r="X67" s="174"/>
      <c r="Y67" s="3"/>
      <c r="Z67" s="137"/>
      <c r="AA67" s="53"/>
      <c r="AB67" s="170"/>
      <c r="AC67" s="53"/>
      <c r="AD67" s="131"/>
      <c r="AE67" s="2"/>
      <c r="AF67" s="136"/>
    </row>
    <row r="68" spans="1:32" ht="19.5" customHeight="1">
      <c r="A68" s="111"/>
      <c r="B68" s="111"/>
      <c r="C68" s="137"/>
      <c r="D68" s="111"/>
      <c r="E68" s="139"/>
      <c r="F68" s="111"/>
      <c r="G68" s="218"/>
      <c r="H68" s="273"/>
      <c r="Q68" s="174"/>
      <c r="R68" s="174"/>
      <c r="S68" s="174"/>
      <c r="T68" s="174"/>
      <c r="U68" s="174"/>
      <c r="V68" s="174"/>
      <c r="W68" s="174"/>
      <c r="X68" s="174"/>
      <c r="Y68" s="3"/>
      <c r="Z68" s="137"/>
      <c r="AA68" s="53"/>
      <c r="AB68" s="170"/>
      <c r="AC68" s="53"/>
      <c r="AD68" s="131"/>
      <c r="AE68" s="2"/>
      <c r="AF68" s="136"/>
    </row>
    <row r="69" spans="1:32" ht="19.5" customHeight="1" thickBot="1">
      <c r="A69" s="414" t="s">
        <v>316</v>
      </c>
      <c r="B69" s="414"/>
      <c r="C69" s="414"/>
      <c r="D69" s="414"/>
      <c r="E69" s="414"/>
      <c r="F69" s="227"/>
      <c r="G69" s="227"/>
      <c r="H69" s="276">
        <f>SUM(H43-H46)+H63+H67-H54</f>
        <v>56109.64</v>
      </c>
      <c r="Q69" s="412"/>
      <c r="R69" s="412"/>
      <c r="S69" s="412"/>
      <c r="T69" s="412"/>
      <c r="U69" s="412"/>
      <c r="V69" s="125"/>
      <c r="W69" s="125"/>
      <c r="X69" s="255"/>
      <c r="Y69" s="112">
        <v>8069643.89</v>
      </c>
      <c r="Z69" s="220">
        <v>8069643.89</v>
      </c>
      <c r="AA69" s="53"/>
      <c r="AB69" s="170"/>
      <c r="AC69" s="53"/>
      <c r="AD69" s="131"/>
      <c r="AE69" s="2"/>
      <c r="AF69" s="136"/>
    </row>
    <row r="70" spans="1:32" ht="21.75" customHeight="1">
      <c r="A70" s="285" t="s">
        <v>96</v>
      </c>
      <c r="B70" s="285"/>
      <c r="C70" s="285"/>
      <c r="D70" s="285"/>
      <c r="E70" s="285" t="s">
        <v>97</v>
      </c>
      <c r="F70" s="285"/>
      <c r="G70" s="143"/>
      <c r="H70" s="143"/>
      <c r="Q70" s="125"/>
      <c r="R70" s="125"/>
      <c r="S70" s="125"/>
      <c r="T70" s="125"/>
      <c r="U70" s="125"/>
      <c r="V70" s="125"/>
      <c r="W70" s="125"/>
      <c r="X70" s="125"/>
      <c r="Y70" s="3"/>
      <c r="Z70" s="220">
        <v>7908202.73</v>
      </c>
      <c r="AA70" s="53"/>
      <c r="AB70" s="170"/>
      <c r="AC70" s="53"/>
      <c r="AD70" s="131"/>
      <c r="AE70" s="2"/>
      <c r="AF70" s="136"/>
    </row>
    <row r="71" spans="1:32" ht="19.5" customHeight="1">
      <c r="A71" s="409" t="s">
        <v>256</v>
      </c>
      <c r="B71" s="409"/>
      <c r="C71" s="409"/>
      <c r="D71" s="143"/>
      <c r="E71" s="409" t="s">
        <v>258</v>
      </c>
      <c r="F71" s="409"/>
      <c r="G71" s="409"/>
      <c r="H71" s="143"/>
      <c r="Q71" s="125"/>
      <c r="R71" s="125"/>
      <c r="S71" s="125"/>
      <c r="T71" s="125"/>
      <c r="U71" s="125"/>
      <c r="V71" s="125"/>
      <c r="W71" s="125"/>
      <c r="X71" s="125"/>
      <c r="Y71" s="3"/>
      <c r="Z71" s="118">
        <f>SUM(Z69-Z70)</f>
        <v>161441.15999999922</v>
      </c>
      <c r="AA71" s="53"/>
      <c r="AB71" s="170"/>
      <c r="AC71" s="53"/>
      <c r="AD71" s="131"/>
      <c r="AE71" s="2"/>
      <c r="AF71" s="136"/>
    </row>
    <row r="72" spans="1:32" ht="19.5" customHeight="1">
      <c r="A72" s="410" t="s">
        <v>167</v>
      </c>
      <c r="B72" s="410"/>
      <c r="C72" s="410"/>
      <c r="D72" s="143"/>
      <c r="E72" s="411" t="s">
        <v>116</v>
      </c>
      <c r="F72" s="411"/>
      <c r="G72" s="411"/>
      <c r="H72" s="143"/>
      <c r="Q72" s="125"/>
      <c r="R72" s="125"/>
      <c r="S72" s="125"/>
      <c r="T72" s="125"/>
      <c r="U72" s="125"/>
      <c r="V72" s="160"/>
      <c r="W72" s="125"/>
      <c r="X72" s="125"/>
      <c r="Y72" s="3"/>
      <c r="Z72" s="137"/>
      <c r="AA72" s="53"/>
      <c r="AB72" s="170"/>
      <c r="AC72" s="53"/>
      <c r="AD72" s="131"/>
      <c r="AE72" s="2"/>
      <c r="AF72" s="136"/>
    </row>
    <row r="73" spans="1:32" ht="19.5" customHeight="1">
      <c r="A73" s="410" t="s">
        <v>257</v>
      </c>
      <c r="B73" s="410"/>
      <c r="C73" s="410"/>
      <c r="D73" s="143"/>
      <c r="E73" s="411" t="s">
        <v>120</v>
      </c>
      <c r="F73" s="411"/>
      <c r="G73" s="411"/>
      <c r="H73" s="143"/>
      <c r="Q73" s="125"/>
      <c r="R73" s="125"/>
      <c r="S73" s="125"/>
      <c r="T73" s="125"/>
      <c r="U73" s="125"/>
      <c r="V73" s="160"/>
      <c r="W73" s="125"/>
      <c r="X73" s="125"/>
      <c r="Y73" s="3"/>
      <c r="Z73" s="137"/>
      <c r="AA73" s="53"/>
      <c r="AB73" s="170"/>
      <c r="AC73" s="53"/>
      <c r="AD73" s="131"/>
      <c r="AE73" s="2"/>
      <c r="AF73" s="136"/>
    </row>
    <row r="74" spans="5:32" ht="19.5" customHeight="1">
      <c r="E74" s="411" t="s">
        <v>119</v>
      </c>
      <c r="F74" s="411"/>
      <c r="G74" s="411"/>
      <c r="Q74" s="174"/>
      <c r="R74" s="174"/>
      <c r="S74" s="174"/>
      <c r="T74" s="174"/>
      <c r="U74" s="125"/>
      <c r="V74" s="160"/>
      <c r="W74" s="174"/>
      <c r="X74" s="174"/>
      <c r="Y74" s="3"/>
      <c r="Z74" s="137"/>
      <c r="AA74" s="53"/>
      <c r="AB74" s="170"/>
      <c r="AC74" s="53"/>
      <c r="AD74" s="131"/>
      <c r="AE74" s="2"/>
      <c r="AF74" s="136"/>
    </row>
    <row r="75" spans="5:32" ht="19.5" customHeight="1">
      <c r="E75" s="143"/>
      <c r="Y75" s="3"/>
      <c r="Z75" s="137"/>
      <c r="AA75" s="53"/>
      <c r="AB75" s="170"/>
      <c r="AC75" s="53"/>
      <c r="AD75" s="131"/>
      <c r="AE75" s="2"/>
      <c r="AF75" s="136"/>
    </row>
    <row r="76" spans="5:32" ht="19.5" customHeight="1">
      <c r="E76" s="143"/>
      <c r="Y76" s="3"/>
      <c r="Z76" s="137"/>
      <c r="AA76" s="53"/>
      <c r="AB76" s="170"/>
      <c r="AC76" s="53"/>
      <c r="AD76" s="131"/>
      <c r="AE76" s="2"/>
      <c r="AF76" s="136"/>
    </row>
  </sheetData>
  <sheetProtection/>
  <mergeCells count="57">
    <mergeCell ref="A34:C34"/>
    <mergeCell ref="A4:E4"/>
    <mergeCell ref="I4:M4"/>
    <mergeCell ref="A5:F5"/>
    <mergeCell ref="I5:N5"/>
    <mergeCell ref="A42:E42"/>
    <mergeCell ref="E34:G34"/>
    <mergeCell ref="A35:C35"/>
    <mergeCell ref="E35:G35"/>
    <mergeCell ref="A36:C36"/>
    <mergeCell ref="J8:K8"/>
    <mergeCell ref="A32:E32"/>
    <mergeCell ref="I32:M32"/>
    <mergeCell ref="A31:B31"/>
    <mergeCell ref="C31:D31"/>
    <mergeCell ref="A27:B27"/>
    <mergeCell ref="C27:D27"/>
    <mergeCell ref="Q57:S57"/>
    <mergeCell ref="U57:W57"/>
    <mergeCell ref="I34:K34"/>
    <mergeCell ref="M34:O34"/>
    <mergeCell ref="I35:K35"/>
    <mergeCell ref="M35:O35"/>
    <mergeCell ref="I36:K36"/>
    <mergeCell ref="M36:O36"/>
    <mergeCell ref="M37:O37"/>
    <mergeCell ref="Q36:S36"/>
    <mergeCell ref="Q56:S56"/>
    <mergeCell ref="U56:W56"/>
    <mergeCell ref="Q41:S41"/>
    <mergeCell ref="U41:W41"/>
    <mergeCell ref="Q42:S42"/>
    <mergeCell ref="U42:W42"/>
    <mergeCell ref="Q43:S43"/>
    <mergeCell ref="U43:W43"/>
    <mergeCell ref="U44:W44"/>
    <mergeCell ref="E36:G36"/>
    <mergeCell ref="E37:G37"/>
    <mergeCell ref="A71:C71"/>
    <mergeCell ref="E71:G71"/>
    <mergeCell ref="A72:C72"/>
    <mergeCell ref="E72:G72"/>
    <mergeCell ref="A43:F43"/>
    <mergeCell ref="A69:E69"/>
    <mergeCell ref="Q58:S58"/>
    <mergeCell ref="U58:W58"/>
    <mergeCell ref="U59:W59"/>
    <mergeCell ref="A73:C73"/>
    <mergeCell ref="E73:G73"/>
    <mergeCell ref="E74:G74"/>
    <mergeCell ref="Q69:U69"/>
    <mergeCell ref="Q34:S34"/>
    <mergeCell ref="U34:W34"/>
    <mergeCell ref="Q35:S35"/>
    <mergeCell ref="U35:W35"/>
    <mergeCell ref="U36:W36"/>
    <mergeCell ref="U37:W37"/>
  </mergeCells>
  <printOptions/>
  <pageMargins left="0.7" right="0.32" top="0.31" bottom="0.34" header="0.3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36" sqref="C36"/>
    </sheetView>
  </sheetViews>
  <sheetFormatPr defaultColWidth="9.140625" defaultRowHeight="19.5" customHeight="1"/>
  <cols>
    <col min="1" max="1" width="47.57421875" style="111" customWidth="1"/>
    <col min="2" max="2" width="10.140625" style="111" customWidth="1"/>
    <col min="3" max="3" width="13.7109375" style="111" customWidth="1"/>
    <col min="4" max="4" width="14.140625" style="111" customWidth="1"/>
    <col min="5" max="5" width="14.421875" style="111" customWidth="1"/>
    <col min="6" max="6" width="15.28125" style="112" bestFit="1" customWidth="1"/>
    <col min="7" max="16384" width="9.00390625" style="111" customWidth="1"/>
  </cols>
  <sheetData>
    <row r="1" spans="1:4" ht="21.75" customHeight="1">
      <c r="A1" s="425" t="s">
        <v>18</v>
      </c>
      <c r="B1" s="425"/>
      <c r="C1" s="425"/>
      <c r="D1" s="425"/>
    </row>
    <row r="2" spans="1:4" ht="21.75" customHeight="1">
      <c r="A2" s="415" t="s">
        <v>0</v>
      </c>
      <c r="B2" s="415"/>
      <c r="C2" s="415"/>
      <c r="D2" s="415"/>
    </row>
    <row r="3" spans="1:4" ht="21.75" customHeight="1">
      <c r="A3" s="415" t="s">
        <v>271</v>
      </c>
      <c r="B3" s="415"/>
      <c r="C3" s="415"/>
      <c r="D3" s="415"/>
    </row>
    <row r="4" spans="1:4" ht="21.75" customHeight="1">
      <c r="A4" s="426" t="s">
        <v>338</v>
      </c>
      <c r="B4" s="426"/>
      <c r="C4" s="426"/>
      <c r="D4" s="426"/>
    </row>
    <row r="5" spans="1:4" ht="19.5" customHeight="1">
      <c r="A5" s="113" t="s">
        <v>1</v>
      </c>
      <c r="B5" s="113" t="s">
        <v>2</v>
      </c>
      <c r="C5" s="113" t="s">
        <v>3</v>
      </c>
      <c r="D5" s="113" t="s">
        <v>4</v>
      </c>
    </row>
    <row r="6" spans="1:5" ht="19.5" customHeight="1">
      <c r="A6" s="114" t="s">
        <v>5</v>
      </c>
      <c r="B6" s="115" t="s">
        <v>171</v>
      </c>
      <c r="C6" s="116">
        <v>0</v>
      </c>
      <c r="D6" s="117"/>
      <c r="E6" s="118"/>
    </row>
    <row r="7" spans="1:4" ht="19.5" customHeight="1">
      <c r="A7" s="119" t="s">
        <v>237</v>
      </c>
      <c r="B7" s="120" t="s">
        <v>131</v>
      </c>
      <c r="C7" s="338">
        <f>7187703.84+88302.38-89800+331470.36-89000+254899.55-90600+431553.05-91400+759939.46-92200+399847.18-93000+589446.83-95400+366930.52-94600</f>
        <v>9674093.17</v>
      </c>
      <c r="D7" s="121"/>
    </row>
    <row r="8" spans="1:5" ht="19.5" customHeight="1">
      <c r="A8" s="119" t="s">
        <v>238</v>
      </c>
      <c r="B8" s="120" t="s">
        <v>131</v>
      </c>
      <c r="C8" s="338">
        <f>648684.68+1258.27-649942.95</f>
        <v>0</v>
      </c>
      <c r="D8" s="121"/>
      <c r="E8" s="122"/>
    </row>
    <row r="9" spans="1:6" ht="19.5" customHeight="1">
      <c r="A9" s="119" t="s">
        <v>239</v>
      </c>
      <c r="B9" s="120" t="s">
        <v>131</v>
      </c>
      <c r="C9" s="210">
        <f>8069643.89+5864506.36-2264800.56-1200+2849868.56-3944387.77+2575586.47-5880600.25+7382353.79-4455670.83+30+1319454.4-3172141.28-30+2067510.08-3273686.84+9601450.18-8244253.6+2483835.93-4375884.89-227</f>
        <v>6601356.640000003</v>
      </c>
      <c r="D9" s="121"/>
      <c r="E9" s="111">
        <f>8342612.78-8343039.98</f>
        <v>-427.20000000018626</v>
      </c>
      <c r="F9" s="112" t="e">
        <f>SUM(#REF!+#REF!+#REF!+#REF!)</f>
        <v>#REF!</v>
      </c>
    </row>
    <row r="10" spans="1:4" ht="19.5" customHeight="1">
      <c r="A10" s="119" t="s">
        <v>254</v>
      </c>
      <c r="B10" s="120" t="s">
        <v>131</v>
      </c>
      <c r="C10" s="210">
        <f>132388.31-4203+824.33-6100-1000-1200-42102.8-397.2-6100-16000</f>
        <v>56109.64</v>
      </c>
      <c r="D10" s="121"/>
    </row>
    <row r="11" spans="1:5" ht="19.5" customHeight="1">
      <c r="A11" s="119" t="s">
        <v>104</v>
      </c>
      <c r="B11" s="120" t="s">
        <v>132</v>
      </c>
      <c r="C11" s="210">
        <f>1209827.25+273396.21</f>
        <v>1483223.46</v>
      </c>
      <c r="D11" s="121"/>
      <c r="E11" s="111">
        <v>11191166.74</v>
      </c>
    </row>
    <row r="12" spans="1:5" ht="19.5" customHeight="1">
      <c r="A12" s="119" t="s">
        <v>224</v>
      </c>
      <c r="B12" s="120" t="s">
        <v>130</v>
      </c>
      <c r="C12" s="309">
        <f>256000-256000+24000-24000+7184.25+5620-12804.25+3900-3900+108750+5172+9242.81-5172-9242.81+6100-108750</f>
        <v>6100</v>
      </c>
      <c r="D12" s="121"/>
      <c r="E12" s="111">
        <f>SUM(E9-E11)</f>
        <v>-11191593.940000001</v>
      </c>
    </row>
    <row r="13" spans="1:4" ht="19.5" customHeight="1">
      <c r="A13" s="119" t="s">
        <v>270</v>
      </c>
      <c r="B13" s="120" t="s">
        <v>134</v>
      </c>
      <c r="C13" s="309">
        <f>9584000-495000-1003126-79874-1247500-1297192-996000-81308-400000-996000</f>
        <v>2988000</v>
      </c>
      <c r="D13" s="185"/>
    </row>
    <row r="14" spans="1:4" ht="19.5" customHeight="1">
      <c r="A14" s="119" t="s">
        <v>223</v>
      </c>
      <c r="B14" s="120" t="s">
        <v>205</v>
      </c>
      <c r="C14" s="210">
        <f>16536.75-6677.25</f>
        <v>9859.5</v>
      </c>
      <c r="D14" s="121"/>
    </row>
    <row r="15" spans="1:5" ht="19.5" customHeight="1">
      <c r="A15" s="119" t="s">
        <v>218</v>
      </c>
      <c r="B15" s="120" t="s">
        <v>129</v>
      </c>
      <c r="C15" s="116">
        <f>456081-29640-24780+56412+73934-28826-40126-23278+74168-2-33350+93524-36400-49536</f>
        <v>488181</v>
      </c>
      <c r="D15" s="185"/>
      <c r="E15" s="111">
        <f>426441+40045.9</f>
        <v>466486.9</v>
      </c>
    </row>
    <row r="16" spans="1:4" ht="19.5" customHeight="1">
      <c r="A16" s="119" t="s">
        <v>222</v>
      </c>
      <c r="B16" s="120" t="s">
        <v>129</v>
      </c>
      <c r="C16" s="116">
        <f>85836.6-45790.7-40045.9</f>
        <v>0</v>
      </c>
      <c r="D16" s="185"/>
    </row>
    <row r="17" spans="1:5" ht="19.5" customHeight="1">
      <c r="A17" s="119" t="s">
        <v>57</v>
      </c>
      <c r="B17" s="120" t="s">
        <v>135</v>
      </c>
      <c r="C17" s="116">
        <f>553600+564994+1212699.41+558900+576718+565594+564634+566634</f>
        <v>5163773.41</v>
      </c>
      <c r="D17" s="121"/>
      <c r="E17" s="122"/>
    </row>
    <row r="18" spans="1:5" ht="19.5" customHeight="1">
      <c r="A18" s="119" t="s">
        <v>6</v>
      </c>
      <c r="B18" s="120" t="s">
        <v>136</v>
      </c>
      <c r="C18" s="116">
        <f>218720+218720+218720+218720+218720+218720+218720+218720</f>
        <v>1749760</v>
      </c>
      <c r="D18" s="121"/>
      <c r="E18" s="122"/>
    </row>
    <row r="19" spans="1:5" ht="19.5" customHeight="1">
      <c r="A19" s="119" t="s">
        <v>7</v>
      </c>
      <c r="B19" s="120" t="s">
        <v>137</v>
      </c>
      <c r="C19" s="116">
        <f>621340+639639+646770+646770+646770+636770+643310+653310</f>
        <v>5134679</v>
      </c>
      <c r="D19" s="121"/>
      <c r="E19" s="122">
        <f>SUM(C19:C19)</f>
        <v>5134679</v>
      </c>
    </row>
    <row r="20" spans="1:5" ht="19.5" customHeight="1">
      <c r="A20" s="119" t="s">
        <v>8</v>
      </c>
      <c r="B20" s="120" t="s">
        <v>138</v>
      </c>
      <c r="C20" s="339">
        <f>27900+24760+33080+31370+35080+32700+30300</f>
        <v>215190</v>
      </c>
      <c r="D20" s="121"/>
      <c r="E20" s="118"/>
    </row>
    <row r="21" spans="1:6" ht="19.5" customHeight="1">
      <c r="A21" s="209" t="s">
        <v>9</v>
      </c>
      <c r="B21" s="120" t="s">
        <v>139</v>
      </c>
      <c r="C21" s="116">
        <f>63604.5+1252409.34+1149151.26+585830.98+676785.49+562471.8+1088693.06+727922.47</f>
        <v>6106868.899999999</v>
      </c>
      <c r="D21" s="121"/>
      <c r="F21" s="112">
        <f>SUM(1239800+139500+2100+900)</f>
        <v>1382300</v>
      </c>
    </row>
    <row r="22" spans="1:6" ht="19.5" customHeight="1">
      <c r="A22" s="119" t="s">
        <v>10</v>
      </c>
      <c r="B22" s="120" t="s">
        <v>140</v>
      </c>
      <c r="C22" s="339">
        <f>59343.76+116222.2+19237+217740.3+251367.2+69855+323134.7</f>
        <v>1056900.16</v>
      </c>
      <c r="D22" s="121"/>
      <c r="E22" s="122"/>
      <c r="F22" s="112">
        <f>405400+43000+2100+900</f>
        <v>451400</v>
      </c>
    </row>
    <row r="23" spans="1:6" ht="19.5" customHeight="1">
      <c r="A23" s="119" t="s">
        <v>11</v>
      </c>
      <c r="B23" s="120" t="s">
        <v>141</v>
      </c>
      <c r="C23" s="116">
        <f>88541.58+81986.02+81780.95+82618.67+104140.72+88987.29+97633.04+113142.68</f>
        <v>738830.95</v>
      </c>
      <c r="D23" s="121"/>
      <c r="F23" s="112">
        <f>SUM(F21-F22)</f>
        <v>930900</v>
      </c>
    </row>
    <row r="24" spans="1:6" ht="19.5" customHeight="1">
      <c r="A24" s="119" t="s">
        <v>12</v>
      </c>
      <c r="B24" s="120" t="s">
        <v>172</v>
      </c>
      <c r="C24" s="339">
        <f>123500+161000+166000+630620+364480</f>
        <v>1445600</v>
      </c>
      <c r="D24" s="121"/>
      <c r="F24" s="112" t="e">
        <f>SUM(#REF!-F23)</f>
        <v>#REF!</v>
      </c>
    </row>
    <row r="25" spans="1:4" ht="19.5" customHeight="1">
      <c r="A25" s="119" t="s">
        <v>13</v>
      </c>
      <c r="B25" s="120" t="s">
        <v>142</v>
      </c>
      <c r="C25" s="339">
        <f>52000+21200+51337.33+111730+6131.1+22700+191950</f>
        <v>457048.43000000005</v>
      </c>
      <c r="D25" s="121"/>
    </row>
    <row r="26" spans="1:6" ht="19.5" customHeight="1">
      <c r="A26" s="119" t="s">
        <v>14</v>
      </c>
      <c r="B26" s="120" t="s">
        <v>143</v>
      </c>
      <c r="C26" s="339">
        <v>299000</v>
      </c>
      <c r="D26" s="121"/>
      <c r="F26" s="112">
        <f>800+1500+800+1500</f>
        <v>4600</v>
      </c>
    </row>
    <row r="27" spans="1:4" ht="19.5" customHeight="1">
      <c r="A27" s="298" t="s">
        <v>313</v>
      </c>
      <c r="B27" s="120" t="s">
        <v>259</v>
      </c>
      <c r="C27" s="339">
        <v>30700</v>
      </c>
      <c r="D27" s="123"/>
    </row>
    <row r="28" spans="1:4" ht="19.5" customHeight="1">
      <c r="A28" s="337" t="s">
        <v>314</v>
      </c>
      <c r="B28" s="120" t="s">
        <v>312</v>
      </c>
      <c r="C28" s="339">
        <f>4630000</f>
        <v>4630000</v>
      </c>
      <c r="D28" s="123"/>
    </row>
    <row r="29" spans="1:4" ht="19.5" customHeight="1">
      <c r="A29" s="119" t="s">
        <v>287</v>
      </c>
      <c r="B29" s="120" t="s">
        <v>288</v>
      </c>
      <c r="C29" s="116">
        <v>0</v>
      </c>
      <c r="D29" s="309">
        <f>30-30</f>
        <v>0</v>
      </c>
    </row>
    <row r="30" spans="1:4" ht="19.5" customHeight="1">
      <c r="A30" s="119" t="s">
        <v>204</v>
      </c>
      <c r="B30" s="120" t="s">
        <v>144</v>
      </c>
      <c r="C30" s="299"/>
      <c r="D30" s="340">
        <f>9643929.96-46600-6329.96-7000-495000-79874-1247500-1003126-1297192-996000-81308-400000-996000</f>
        <v>2988000</v>
      </c>
    </row>
    <row r="31" spans="1:4" ht="19.5" customHeight="1">
      <c r="A31" s="119" t="s">
        <v>236</v>
      </c>
      <c r="B31" s="120" t="s">
        <v>147</v>
      </c>
      <c r="C31" s="299"/>
      <c r="D31" s="210">
        <f>1556165.2+77274.5-36241.77+87985.99-57970.08+61649.43-86238.86+98360.14-146389.91+54523.53-29530.19+95638.48-31567.54+38737.94-795814.8</f>
        <v>886582.0599999996</v>
      </c>
    </row>
    <row r="32" spans="1:4" ht="19.5" customHeight="1">
      <c r="A32" s="204" t="s">
        <v>124</v>
      </c>
      <c r="B32" s="120" t="s">
        <v>145</v>
      </c>
      <c r="C32" s="299"/>
      <c r="D32" s="300">
        <v>0</v>
      </c>
    </row>
    <row r="33" spans="1:4" ht="19.5" customHeight="1">
      <c r="A33" s="119" t="s">
        <v>98</v>
      </c>
      <c r="B33" s="120" t="s">
        <v>128</v>
      </c>
      <c r="C33" s="299"/>
      <c r="D33" s="116">
        <f>8881188.26+1000+1000+840-994.11+1000+1000+1000+5150.41+1588.33+9537.72-2+1000-994000+1000-499000+1000</f>
        <v>7412308.610000001</v>
      </c>
    </row>
    <row r="34" spans="1:6" ht="19.5" customHeight="1">
      <c r="A34" s="119" t="s">
        <v>99</v>
      </c>
      <c r="B34" s="120" t="s">
        <v>146</v>
      </c>
      <c r="C34" s="299"/>
      <c r="D34" s="116">
        <f>7294036.44-495000-378000-331.37+529.44</f>
        <v>6421234.510000001</v>
      </c>
      <c r="E34" s="124"/>
      <c r="F34" s="112" t="e">
        <f>SUM(#REF!)</f>
        <v>#REF!</v>
      </c>
    </row>
    <row r="35" spans="1:5" ht="19.5" customHeight="1">
      <c r="A35" s="119" t="s">
        <v>235</v>
      </c>
      <c r="B35" s="120" t="s">
        <v>127</v>
      </c>
      <c r="C35" s="299"/>
      <c r="D35" s="116">
        <f>5875163.02+1601686.08+1597203.89+5458222+2049753.91+2398532.29+5193706.38+1792181.51</f>
        <v>25966449.080000002</v>
      </c>
      <c r="E35" s="124"/>
    </row>
    <row r="36" spans="1:4" ht="21.75" customHeight="1">
      <c r="A36" s="298" t="s">
        <v>313</v>
      </c>
      <c r="B36" s="120" t="s">
        <v>259</v>
      </c>
      <c r="C36" s="299"/>
      <c r="D36" s="116">
        <v>30700</v>
      </c>
    </row>
    <row r="37" spans="1:4" ht="21.75" customHeight="1">
      <c r="A37" s="337" t="s">
        <v>314</v>
      </c>
      <c r="B37" s="120" t="s">
        <v>312</v>
      </c>
      <c r="C37" s="299"/>
      <c r="D37" s="339">
        <f>4630000</f>
        <v>4630000</v>
      </c>
    </row>
    <row r="38" spans="1:4" ht="19.5" customHeight="1" thickBot="1">
      <c r="A38" s="427" t="s">
        <v>17</v>
      </c>
      <c r="B38" s="428"/>
      <c r="C38" s="132">
        <f>SUM(C6:C36)+5150.41</f>
        <v>48340424.67</v>
      </c>
      <c r="D38" s="132">
        <f>SUM(D6:D37)+5150.41</f>
        <v>48340424.67</v>
      </c>
    </row>
    <row r="39" spans="1:4" ht="19.5" customHeight="1" thickTop="1">
      <c r="A39" s="125"/>
      <c r="B39" s="126"/>
      <c r="C39" s="127"/>
      <c r="D39" s="127"/>
    </row>
    <row r="40" spans="1:4" ht="19.5" customHeight="1">
      <c r="A40" s="125"/>
      <c r="B40" s="126"/>
      <c r="C40" s="127"/>
      <c r="D40" s="127"/>
    </row>
    <row r="41" spans="1:6" ht="19.5" customHeight="1">
      <c r="A41" s="125"/>
      <c r="B41" s="126"/>
      <c r="C41" s="127"/>
      <c r="D41" s="127"/>
      <c r="E41" s="112">
        <v>48345876.79</v>
      </c>
      <c r="F41" s="112" t="s">
        <v>339</v>
      </c>
    </row>
    <row r="42" spans="1:6" ht="19.5" customHeight="1">
      <c r="A42" s="125"/>
      <c r="B42" s="126"/>
      <c r="C42" s="127"/>
      <c r="D42" s="127"/>
      <c r="E42" s="112">
        <v>48340424.67</v>
      </c>
      <c r="F42" s="112" t="s">
        <v>340</v>
      </c>
    </row>
    <row r="43" spans="1:5" ht="19.5" customHeight="1">
      <c r="A43" s="125"/>
      <c r="B43" s="126"/>
      <c r="C43" s="127"/>
      <c r="D43" s="127"/>
      <c r="E43" s="393">
        <f>SUM(E41-E42)</f>
        <v>5452.119999997318</v>
      </c>
    </row>
    <row r="44" spans="1:4" ht="19.5" customHeight="1">
      <c r="A44" s="125"/>
      <c r="B44" s="126"/>
      <c r="C44" s="127"/>
      <c r="D44" s="127"/>
    </row>
    <row r="45" spans="1:4" ht="19.5" customHeight="1">
      <c r="A45" s="125"/>
      <c r="B45" s="126"/>
      <c r="C45" s="127"/>
      <c r="D45" s="127"/>
    </row>
    <row r="46" spans="1:4" ht="19.5" customHeight="1">
      <c r="A46" s="125"/>
      <c r="B46" s="126"/>
      <c r="C46" s="127"/>
      <c r="D46" s="127"/>
    </row>
    <row r="47" spans="1:4" ht="19.5" customHeight="1">
      <c r="A47" s="125"/>
      <c r="B47" s="126"/>
      <c r="C47" s="127"/>
      <c r="D47" s="127"/>
    </row>
    <row r="48" spans="1:4" ht="19.5" customHeight="1">
      <c r="A48" s="125"/>
      <c r="B48" s="126"/>
      <c r="C48" s="127"/>
      <c r="D48" s="127"/>
    </row>
    <row r="49" spans="1:4" ht="19.5" customHeight="1">
      <c r="A49" s="125"/>
      <c r="B49" s="126"/>
      <c r="C49" s="127"/>
      <c r="D49" s="127"/>
    </row>
    <row r="50" spans="1:4" ht="19.5" customHeight="1">
      <c r="A50" s="125"/>
      <c r="B50" s="126"/>
      <c r="C50" s="127"/>
      <c r="D50" s="127"/>
    </row>
    <row r="51" ht="19.5" customHeight="1">
      <c r="C51" s="118"/>
    </row>
    <row r="52" spans="3:4" ht="19.5" customHeight="1">
      <c r="C52" s="118"/>
      <c r="D52" s="118"/>
    </row>
  </sheetData>
  <sheetProtection/>
  <mergeCells count="5">
    <mergeCell ref="A1:D1"/>
    <mergeCell ref="A2:D2"/>
    <mergeCell ref="A3:D3"/>
    <mergeCell ref="A4:D4"/>
    <mergeCell ref="A38:B38"/>
  </mergeCells>
  <printOptions/>
  <pageMargins left="0.6299212598425197" right="0.2362204724409449" top="0.7480314960629921" bottom="0.15748031496062992" header="0.31496062992125984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="90" zoomScaleSheetLayoutView="90" zoomScalePageLayoutView="0" workbookViewId="0" topLeftCell="A94">
      <selection activeCell="B100" sqref="B100"/>
    </sheetView>
  </sheetViews>
  <sheetFormatPr defaultColWidth="9.140625" defaultRowHeight="19.5" customHeight="1"/>
  <cols>
    <col min="1" max="1" width="48.57421875" style="184" customWidth="1"/>
    <col min="2" max="2" width="9.421875" style="150" customWidth="1"/>
    <col min="3" max="3" width="12.8515625" style="224" customWidth="1"/>
    <col min="4" max="4" width="12.8515625" style="184" customWidth="1"/>
    <col min="5" max="5" width="10.8515625" style="374" customWidth="1"/>
    <col min="6" max="6" width="9.8515625" style="290" bestFit="1" customWidth="1"/>
    <col min="7" max="7" width="10.421875" style="150" bestFit="1" customWidth="1"/>
    <col min="8" max="16384" width="9.00390625" style="150" customWidth="1"/>
  </cols>
  <sheetData>
    <row r="1" spans="1:5" ht="31.5" customHeight="1">
      <c r="A1" s="429" t="s">
        <v>80</v>
      </c>
      <c r="B1" s="429"/>
      <c r="C1" s="429"/>
      <c r="D1" s="429"/>
      <c r="E1" s="429"/>
    </row>
    <row r="2" spans="1:5" ht="24" customHeight="1">
      <c r="A2" s="430" t="s">
        <v>60</v>
      </c>
      <c r="B2" s="430"/>
      <c r="C2" s="430"/>
      <c r="D2" s="430"/>
      <c r="E2" s="430"/>
    </row>
    <row r="3" spans="1:5" ht="24" customHeight="1">
      <c r="A3" s="430" t="s">
        <v>202</v>
      </c>
      <c r="B3" s="430"/>
      <c r="C3" s="430"/>
      <c r="D3" s="430"/>
      <c r="E3" s="430"/>
    </row>
    <row r="4" spans="1:5" ht="24" customHeight="1">
      <c r="A4" s="430" t="s">
        <v>333</v>
      </c>
      <c r="B4" s="430"/>
      <c r="C4" s="430"/>
      <c r="D4" s="430"/>
      <c r="E4" s="430"/>
    </row>
    <row r="5" spans="1:5" ht="24" customHeight="1">
      <c r="A5" s="54"/>
      <c r="B5" s="54"/>
      <c r="C5" s="54"/>
      <c r="D5" s="54"/>
      <c r="E5" s="353" t="s">
        <v>201</v>
      </c>
    </row>
    <row r="6" spans="1:5" ht="19.5" customHeight="1">
      <c r="A6" s="55"/>
      <c r="B6" s="56" t="s">
        <v>2</v>
      </c>
      <c r="C6" s="57" t="s">
        <v>24</v>
      </c>
      <c r="D6" s="177" t="s">
        <v>61</v>
      </c>
      <c r="E6" s="354" t="s">
        <v>62</v>
      </c>
    </row>
    <row r="7" spans="1:5" ht="21.75" customHeight="1">
      <c r="A7" s="59" t="s">
        <v>173</v>
      </c>
      <c r="B7" s="60">
        <v>41000000</v>
      </c>
      <c r="C7" s="61"/>
      <c r="D7" s="178"/>
      <c r="E7" s="355"/>
    </row>
    <row r="8" spans="1:5" ht="21.75" customHeight="1">
      <c r="A8" s="62" t="s">
        <v>63</v>
      </c>
      <c r="B8" s="63" t="s">
        <v>148</v>
      </c>
      <c r="C8" s="61"/>
      <c r="D8" s="178"/>
      <c r="E8" s="355"/>
    </row>
    <row r="9" spans="1:7" ht="21.75" customHeight="1">
      <c r="A9" s="64" t="s">
        <v>64</v>
      </c>
      <c r="B9" s="63" t="s">
        <v>174</v>
      </c>
      <c r="C9" s="65">
        <v>515000</v>
      </c>
      <c r="D9" s="179">
        <f>1335+35192+19110.73+460738.14+23421.5</f>
        <v>539797.37</v>
      </c>
      <c r="E9" s="356">
        <v>23421.5</v>
      </c>
      <c r="G9" s="159">
        <f>SUM(C9-D9)</f>
        <v>-24797.369999999995</v>
      </c>
    </row>
    <row r="10" spans="1:7" ht="21.75" customHeight="1">
      <c r="A10" s="64" t="s">
        <v>65</v>
      </c>
      <c r="B10" s="63" t="s">
        <v>175</v>
      </c>
      <c r="C10" s="65">
        <v>40000</v>
      </c>
      <c r="D10" s="179">
        <f>285.5+150.87+154.31+10749.36+7868.31+10024.51+5540.48+6305.29</f>
        <v>41078.63</v>
      </c>
      <c r="E10" s="356">
        <v>6305.29</v>
      </c>
      <c r="G10" s="159">
        <f>SUM(C10-D10)</f>
        <v>-1078.6299999999974</v>
      </c>
    </row>
    <row r="11" spans="1:7" ht="21.75" customHeight="1">
      <c r="A11" s="64" t="s">
        <v>66</v>
      </c>
      <c r="B11" s="67" t="s">
        <v>176</v>
      </c>
      <c r="C11" s="68">
        <v>25600</v>
      </c>
      <c r="D11" s="179">
        <f>200+240+26120+6360</f>
        <v>32920</v>
      </c>
      <c r="E11" s="356">
        <v>6360</v>
      </c>
      <c r="G11" s="159">
        <f>SUM(C11-D11)</f>
        <v>-7320</v>
      </c>
    </row>
    <row r="12" spans="1:5" ht="21.75" customHeight="1">
      <c r="A12" s="69" t="s">
        <v>17</v>
      </c>
      <c r="B12" s="70"/>
      <c r="C12" s="71">
        <f>SUM(C9:C11)</f>
        <v>580600</v>
      </c>
      <c r="D12" s="180">
        <f>SUM(D9:D11)</f>
        <v>613796</v>
      </c>
      <c r="E12" s="357">
        <f>SUM(E9:E11)</f>
        <v>36086.79</v>
      </c>
    </row>
    <row r="13" spans="1:5" ht="21.75" customHeight="1">
      <c r="A13" s="62" t="s">
        <v>67</v>
      </c>
      <c r="B13" s="70">
        <v>41200000</v>
      </c>
      <c r="C13" s="73"/>
      <c r="D13" s="179"/>
      <c r="E13" s="356"/>
    </row>
    <row r="14" spans="1:7" ht="21.75" customHeight="1">
      <c r="A14" s="64" t="s">
        <v>228</v>
      </c>
      <c r="B14" s="63" t="s">
        <v>179</v>
      </c>
      <c r="C14" s="65">
        <v>700</v>
      </c>
      <c r="D14" s="66">
        <f>29.1+349.2+116.4+29.1</f>
        <v>523.8000000000001</v>
      </c>
      <c r="E14" s="356">
        <v>29.1</v>
      </c>
      <c r="G14" s="221"/>
    </row>
    <row r="15" spans="1:7" ht="21.75" customHeight="1">
      <c r="A15" s="64" t="s">
        <v>227</v>
      </c>
      <c r="B15" s="63" t="s">
        <v>178</v>
      </c>
      <c r="C15" s="65">
        <v>1500</v>
      </c>
      <c r="D15" s="66">
        <f>143+51+98</f>
        <v>292</v>
      </c>
      <c r="E15" s="356">
        <v>98</v>
      </c>
      <c r="G15" s="221">
        <f>SUM(C15-D15)</f>
        <v>1208</v>
      </c>
    </row>
    <row r="16" spans="1:7" ht="21.75" customHeight="1">
      <c r="A16" s="64" t="s">
        <v>225</v>
      </c>
      <c r="B16" s="63" t="s">
        <v>177</v>
      </c>
      <c r="C16" s="65">
        <v>89500</v>
      </c>
      <c r="D16" s="66">
        <f>240+10420+10180+10460+10340+3320+1200+6040</f>
        <v>52200</v>
      </c>
      <c r="E16" s="356">
        <v>6040</v>
      </c>
      <c r="G16" s="221">
        <f>SUM(C16-D16)</f>
        <v>37300</v>
      </c>
    </row>
    <row r="17" spans="1:7" ht="21.75" customHeight="1">
      <c r="A17" s="64" t="s">
        <v>184</v>
      </c>
      <c r="B17" s="63" t="s">
        <v>149</v>
      </c>
      <c r="C17" s="65">
        <v>5000</v>
      </c>
      <c r="D17" s="66">
        <v>0</v>
      </c>
      <c r="E17" s="356">
        <v>0</v>
      </c>
      <c r="G17" s="221"/>
    </row>
    <row r="18" spans="1:7" ht="21.75" customHeight="1">
      <c r="A18" s="64" t="s">
        <v>226</v>
      </c>
      <c r="B18" s="63" t="s">
        <v>180</v>
      </c>
      <c r="C18" s="65">
        <v>500</v>
      </c>
      <c r="D18" s="66">
        <f>90+50+50+100+50+50+50</f>
        <v>440</v>
      </c>
      <c r="E18" s="356">
        <v>50</v>
      </c>
      <c r="G18" s="221">
        <f aca="true" t="shared" si="0" ref="G18:G25">SUM(C18-D18)</f>
        <v>60</v>
      </c>
    </row>
    <row r="19" spans="1:7" ht="21.75" customHeight="1">
      <c r="A19" s="64" t="s">
        <v>185</v>
      </c>
      <c r="B19" s="63" t="s">
        <v>181</v>
      </c>
      <c r="C19" s="65">
        <v>2100000</v>
      </c>
      <c r="D19" s="66">
        <f>205110+180202.25+332822.15+652228.3+272534+200616.5+364022.52</f>
        <v>2207535.72</v>
      </c>
      <c r="E19" s="356">
        <v>364022.52</v>
      </c>
      <c r="G19" s="221"/>
    </row>
    <row r="20" spans="1:7" ht="21.75" customHeight="1">
      <c r="A20" s="64" t="s">
        <v>186</v>
      </c>
      <c r="B20" s="60">
        <v>41219999</v>
      </c>
      <c r="C20" s="65">
        <v>19000</v>
      </c>
      <c r="D20" s="66">
        <f>1540+410+2320+1800+1300+1880+320+340</f>
        <v>9910</v>
      </c>
      <c r="E20" s="358">
        <v>340</v>
      </c>
      <c r="G20" s="221">
        <f t="shared" si="0"/>
        <v>9090</v>
      </c>
    </row>
    <row r="21" spans="1:7" ht="21.75" customHeight="1">
      <c r="A21" s="64" t="s">
        <v>187</v>
      </c>
      <c r="B21" s="63" t="s">
        <v>182</v>
      </c>
      <c r="C21" s="65">
        <v>4000</v>
      </c>
      <c r="D21" s="66">
        <f>1150+250+450</f>
        <v>1850</v>
      </c>
      <c r="E21" s="358">
        <v>0</v>
      </c>
      <c r="G21" s="221">
        <f t="shared" si="0"/>
        <v>2150</v>
      </c>
    </row>
    <row r="22" spans="1:7" ht="21.75" customHeight="1">
      <c r="A22" s="64" t="s">
        <v>188</v>
      </c>
      <c r="B22" s="60">
        <v>41220009</v>
      </c>
      <c r="C22" s="75">
        <v>1000</v>
      </c>
      <c r="D22" s="66">
        <f>17.9+169.9+123.7+139.7+18+316.5+132.75+155.5</f>
        <v>1073.95</v>
      </c>
      <c r="E22" s="358">
        <v>155.5</v>
      </c>
      <c r="G22" s="221">
        <f t="shared" si="0"/>
        <v>-73.95000000000005</v>
      </c>
    </row>
    <row r="23" spans="1:7" ht="21.75" customHeight="1">
      <c r="A23" s="64" t="s">
        <v>189</v>
      </c>
      <c r="B23" s="76">
        <v>41220010</v>
      </c>
      <c r="C23" s="65">
        <v>30000</v>
      </c>
      <c r="D23" s="66">
        <v>0</v>
      </c>
      <c r="E23" s="356">
        <v>0</v>
      </c>
      <c r="G23" s="221"/>
    </row>
    <row r="24" spans="1:7" ht="21.75" customHeight="1">
      <c r="A24" s="64" t="s">
        <v>126</v>
      </c>
      <c r="B24" s="63" t="s">
        <v>183</v>
      </c>
      <c r="C24" s="65">
        <v>200</v>
      </c>
      <c r="D24" s="66">
        <f>40+20+40</f>
        <v>100</v>
      </c>
      <c r="E24" s="356">
        <v>40</v>
      </c>
      <c r="G24" s="221">
        <f>SUM(C24-D24)</f>
        <v>100</v>
      </c>
    </row>
    <row r="25" spans="1:7" ht="21.75" customHeight="1">
      <c r="A25" s="64" t="s">
        <v>190</v>
      </c>
      <c r="B25" s="67" t="s">
        <v>150</v>
      </c>
      <c r="C25" s="75">
        <v>500</v>
      </c>
      <c r="D25" s="66">
        <v>0</v>
      </c>
      <c r="E25" s="356">
        <v>0</v>
      </c>
      <c r="G25" s="221">
        <f t="shared" si="0"/>
        <v>500</v>
      </c>
    </row>
    <row r="26" spans="1:5" ht="21.75" customHeight="1">
      <c r="A26" s="69" t="s">
        <v>17</v>
      </c>
      <c r="B26" s="63"/>
      <c r="C26" s="77">
        <f>SUM(C14:C25)</f>
        <v>2251900</v>
      </c>
      <c r="D26" s="57">
        <f>SUM(D13:D25)</f>
        <v>2273925.47</v>
      </c>
      <c r="E26" s="357">
        <f>SUM(E14:E25)</f>
        <v>370775.12</v>
      </c>
    </row>
    <row r="27" spans="1:5" ht="21.75" customHeight="1">
      <c r="A27" s="62" t="s">
        <v>68</v>
      </c>
      <c r="B27" s="60">
        <v>41300000</v>
      </c>
      <c r="C27" s="61"/>
      <c r="D27" s="178"/>
      <c r="E27" s="355"/>
    </row>
    <row r="28" spans="1:7" ht="21.75" customHeight="1">
      <c r="A28" s="64" t="s">
        <v>69</v>
      </c>
      <c r="B28" s="60">
        <v>41300003</v>
      </c>
      <c r="C28" s="65">
        <v>120000</v>
      </c>
      <c r="D28" s="78">
        <f>38358.71+14915.69</f>
        <v>53274.4</v>
      </c>
      <c r="E28" s="359">
        <v>0</v>
      </c>
      <c r="G28" s="159">
        <f>SUM(C28-D28)</f>
        <v>66725.6</v>
      </c>
    </row>
    <row r="29" spans="1:7" ht="21.75" customHeight="1">
      <c r="A29" s="64" t="s">
        <v>196</v>
      </c>
      <c r="B29" s="63" t="s">
        <v>151</v>
      </c>
      <c r="C29" s="65">
        <v>500</v>
      </c>
      <c r="D29" s="179">
        <v>0</v>
      </c>
      <c r="E29" s="356">
        <v>0</v>
      </c>
      <c r="G29" s="159">
        <f>SUM(C29-D29)</f>
        <v>500</v>
      </c>
    </row>
    <row r="30" spans="1:5" ht="21.75" customHeight="1">
      <c r="A30" s="69" t="s">
        <v>17</v>
      </c>
      <c r="B30" s="80"/>
      <c r="C30" s="71">
        <f>SUM(C28:C29)</f>
        <v>120500</v>
      </c>
      <c r="D30" s="180">
        <f>SUM(D28:D29)</f>
        <v>53274.4</v>
      </c>
      <c r="E30" s="357">
        <f>SUM(E28:E29)</f>
        <v>0</v>
      </c>
    </row>
    <row r="31" spans="1:5" ht="21.75" customHeight="1">
      <c r="A31" s="62" t="s">
        <v>70</v>
      </c>
      <c r="B31" s="60">
        <v>41400000</v>
      </c>
      <c r="C31" s="81"/>
      <c r="D31" s="181"/>
      <c r="E31" s="360"/>
    </row>
    <row r="32" spans="1:7" ht="21.75" customHeight="1">
      <c r="A32" s="82" t="s">
        <v>195</v>
      </c>
      <c r="B32" s="60">
        <v>41400006</v>
      </c>
      <c r="C32" s="83">
        <v>450000</v>
      </c>
      <c r="D32" s="66">
        <f>56412+73934+74168+93524</f>
        <v>298038</v>
      </c>
      <c r="E32" s="356">
        <v>0</v>
      </c>
      <c r="G32" s="159">
        <f>SUM(C32-D32)</f>
        <v>151962</v>
      </c>
    </row>
    <row r="33" spans="1:5" ht="21.75" customHeight="1">
      <c r="A33" s="84" t="s">
        <v>17</v>
      </c>
      <c r="B33" s="85"/>
      <c r="C33" s="71">
        <f>SUM(C32)</f>
        <v>450000</v>
      </c>
      <c r="D33" s="57">
        <f>SUM(D31:D32)</f>
        <v>298038</v>
      </c>
      <c r="E33" s="357">
        <f>SUM(E31:E32)</f>
        <v>0</v>
      </c>
    </row>
    <row r="34" spans="1:5" ht="19.5" customHeight="1">
      <c r="A34" s="54"/>
      <c r="B34" s="86"/>
      <c r="C34" s="87"/>
      <c r="D34" s="179"/>
      <c r="E34" s="361"/>
    </row>
    <row r="35" spans="1:5" ht="19.5" customHeight="1">
      <c r="A35" s="54"/>
      <c r="B35" s="86"/>
      <c r="C35" s="87"/>
      <c r="D35" s="179"/>
      <c r="E35" s="361"/>
    </row>
    <row r="36" spans="1:5" ht="19.5" customHeight="1">
      <c r="A36" s="54"/>
      <c r="B36" s="86"/>
      <c r="C36" s="87"/>
      <c r="D36" s="179"/>
      <c r="E36" s="376" t="s">
        <v>168</v>
      </c>
    </row>
    <row r="37" spans="1:5" ht="21.75" customHeight="1">
      <c r="A37" s="58" t="s">
        <v>19</v>
      </c>
      <c r="B37" s="56" t="s">
        <v>2</v>
      </c>
      <c r="C37" s="57" t="s">
        <v>24</v>
      </c>
      <c r="D37" s="177" t="s">
        <v>61</v>
      </c>
      <c r="E37" s="354" t="s">
        <v>62</v>
      </c>
    </row>
    <row r="38" spans="1:5" ht="21.75" customHeight="1">
      <c r="A38" s="62" t="s">
        <v>71</v>
      </c>
      <c r="B38" s="60">
        <v>41500000</v>
      </c>
      <c r="C38" s="61"/>
      <c r="D38" s="179"/>
      <c r="E38" s="362" t="s">
        <v>16</v>
      </c>
    </row>
    <row r="39" spans="1:5" ht="21.75" customHeight="1">
      <c r="A39" s="64" t="s">
        <v>231</v>
      </c>
      <c r="B39" s="63" t="s">
        <v>153</v>
      </c>
      <c r="C39" s="65">
        <v>500</v>
      </c>
      <c r="D39" s="79">
        <v>0</v>
      </c>
      <c r="E39" s="359">
        <v>0</v>
      </c>
    </row>
    <row r="40" spans="1:5" ht="21.75" customHeight="1">
      <c r="A40" s="64" t="s">
        <v>229</v>
      </c>
      <c r="B40" s="63" t="s">
        <v>191</v>
      </c>
      <c r="C40" s="65">
        <v>320000</v>
      </c>
      <c r="D40" s="179">
        <v>0</v>
      </c>
      <c r="E40" s="359">
        <v>0</v>
      </c>
    </row>
    <row r="41" spans="1:5" ht="21.75" customHeight="1">
      <c r="A41" s="64" t="s">
        <v>230</v>
      </c>
      <c r="B41" s="63" t="s">
        <v>152</v>
      </c>
      <c r="C41" s="65">
        <v>10000</v>
      </c>
      <c r="D41" s="179">
        <f>17099.76+7366.11+10000+17948.08</f>
        <v>52413.95</v>
      </c>
      <c r="E41" s="359">
        <v>0</v>
      </c>
    </row>
    <row r="42" spans="1:5" ht="21.75" customHeight="1">
      <c r="A42" s="64" t="s">
        <v>197</v>
      </c>
      <c r="B42" s="63" t="s">
        <v>152</v>
      </c>
      <c r="C42" s="65"/>
      <c r="D42" s="179">
        <f>1050</f>
        <v>1050</v>
      </c>
      <c r="E42" s="359">
        <v>0</v>
      </c>
    </row>
    <row r="43" spans="1:5" ht="21.75" customHeight="1">
      <c r="A43" s="69" t="s">
        <v>17</v>
      </c>
      <c r="B43" s="80"/>
      <c r="C43" s="71">
        <f>SUM(C39:C41)</f>
        <v>330500</v>
      </c>
      <c r="D43" s="180">
        <f>SUM(D40:D42)</f>
        <v>53463.95</v>
      </c>
      <c r="E43" s="357">
        <f>SUM(E40:E42)</f>
        <v>0</v>
      </c>
    </row>
    <row r="44" spans="1:5" ht="21.75" customHeight="1">
      <c r="A44" s="62" t="s">
        <v>111</v>
      </c>
      <c r="B44" s="60">
        <v>41600000</v>
      </c>
      <c r="C44" s="61"/>
      <c r="D44" s="179"/>
      <c r="E44" s="362" t="s">
        <v>16</v>
      </c>
    </row>
    <row r="45" spans="1:7" ht="21.75" customHeight="1">
      <c r="A45" s="64" t="s">
        <v>112</v>
      </c>
      <c r="B45" s="63" t="s">
        <v>192</v>
      </c>
      <c r="C45" s="65">
        <v>4000</v>
      </c>
      <c r="D45" s="179">
        <f>205</f>
        <v>205</v>
      </c>
      <c r="E45" s="359">
        <v>0</v>
      </c>
      <c r="G45" s="159">
        <f>SUM(C45-D45)</f>
        <v>3795</v>
      </c>
    </row>
    <row r="46" spans="1:5" ht="21.75" customHeight="1">
      <c r="A46" s="69" t="s">
        <v>17</v>
      </c>
      <c r="B46" s="80"/>
      <c r="C46" s="71">
        <f>SUM(C45:C45)</f>
        <v>4000</v>
      </c>
      <c r="D46" s="180">
        <f>SUM(D45:D45)</f>
        <v>205</v>
      </c>
      <c r="E46" s="357">
        <f>SUM(E45:E45)</f>
        <v>0</v>
      </c>
    </row>
    <row r="47" spans="1:5" ht="21.75" customHeight="1">
      <c r="A47" s="88" t="s">
        <v>72</v>
      </c>
      <c r="B47" s="86"/>
      <c r="C47" s="61"/>
      <c r="D47" s="72">
        <f>SUM(D12+D26+D30+D33+D43+D46)</f>
        <v>3292702.8200000003</v>
      </c>
      <c r="E47" s="357">
        <f>SUM(E12+E26+E30+E33+E43+E46)</f>
        <v>406861.91</v>
      </c>
    </row>
    <row r="48" spans="1:5" ht="21.75" customHeight="1">
      <c r="A48" s="89" t="s">
        <v>200</v>
      </c>
      <c r="B48" s="60">
        <v>42000000</v>
      </c>
      <c r="C48" s="65"/>
      <c r="D48" s="78"/>
      <c r="E48" s="363"/>
    </row>
    <row r="49" spans="1:5" ht="21.75" customHeight="1">
      <c r="A49" s="62" t="s">
        <v>102</v>
      </c>
      <c r="B49" s="60">
        <v>42100000</v>
      </c>
      <c r="C49" s="90"/>
      <c r="D49" s="182"/>
      <c r="E49" s="364"/>
    </row>
    <row r="50" spans="1:7" ht="21.75" customHeight="1">
      <c r="A50" s="82" t="s">
        <v>73</v>
      </c>
      <c r="B50" s="60">
        <v>42100001</v>
      </c>
      <c r="C50" s="91">
        <v>420000</v>
      </c>
      <c r="D50" s="79">
        <f>73142.27+27149.26+23854.83+38970.8+34277.74+32784.6+38393.97</f>
        <v>268573.47</v>
      </c>
      <c r="E50" s="365">
        <v>38393.97</v>
      </c>
      <c r="G50" s="221"/>
    </row>
    <row r="51" spans="1:7" ht="21.75" customHeight="1">
      <c r="A51" s="64" t="s">
        <v>232</v>
      </c>
      <c r="B51" s="60">
        <v>42100002</v>
      </c>
      <c r="C51" s="83">
        <v>7500000</v>
      </c>
      <c r="D51" s="79">
        <f>737787.8+757969.88+739663.09+529258+721013.53+699699.79+726735.13+680565.83</f>
        <v>5592693.05</v>
      </c>
      <c r="E51" s="365">
        <v>680565.83</v>
      </c>
      <c r="G51" s="221"/>
    </row>
    <row r="52" spans="1:7" ht="21.75" customHeight="1">
      <c r="A52" s="64" t="s">
        <v>165</v>
      </c>
      <c r="B52" s="60">
        <v>42100004</v>
      </c>
      <c r="C52" s="83">
        <v>1700000</v>
      </c>
      <c r="D52" s="66">
        <f>98829.88+144867.31+164228.3+144352.72+315348.01+174988.31+121948.62</f>
        <v>1164563.15</v>
      </c>
      <c r="E52" s="365">
        <v>121948.62</v>
      </c>
      <c r="G52" s="221"/>
    </row>
    <row r="53" spans="1:7" ht="21.75" customHeight="1">
      <c r="A53" s="64" t="s">
        <v>74</v>
      </c>
      <c r="B53" s="60">
        <v>42100005</v>
      </c>
      <c r="C53" s="83">
        <v>50000</v>
      </c>
      <c r="D53" s="79">
        <f>16088.23+14534.64</f>
        <v>30622.87</v>
      </c>
      <c r="E53" s="365">
        <v>14534.64</v>
      </c>
      <c r="G53" s="221"/>
    </row>
    <row r="54" spans="1:7" ht="21.75" customHeight="1">
      <c r="A54" s="64" t="s">
        <v>75</v>
      </c>
      <c r="B54" s="60">
        <v>42100006</v>
      </c>
      <c r="C54" s="83">
        <v>0</v>
      </c>
      <c r="D54" s="66">
        <v>0</v>
      </c>
      <c r="E54" s="366">
        <v>0</v>
      </c>
      <c r="G54" s="221"/>
    </row>
    <row r="55" spans="1:7" ht="21.75" customHeight="1">
      <c r="A55" s="64" t="s">
        <v>76</v>
      </c>
      <c r="B55" s="60">
        <v>42100007</v>
      </c>
      <c r="C55" s="83">
        <v>3600000</v>
      </c>
      <c r="D55" s="66">
        <f>301859.26+296070.85+335856.84+310045.2+701310.69+354721.07+333673.09</f>
        <v>2633536.9999999995</v>
      </c>
      <c r="E55" s="366">
        <v>333673.09</v>
      </c>
      <c r="G55" s="221"/>
    </row>
    <row r="56" spans="1:7" ht="21.75" customHeight="1">
      <c r="A56" s="64" t="s">
        <v>113</v>
      </c>
      <c r="B56" s="60">
        <v>42100012</v>
      </c>
      <c r="C56" s="83">
        <v>70000</v>
      </c>
      <c r="D56" s="74">
        <f>24987.03+27353.35</f>
        <v>52340.38</v>
      </c>
      <c r="E56" s="367">
        <v>0</v>
      </c>
      <c r="G56" s="221"/>
    </row>
    <row r="57" spans="1:7" ht="21.75" customHeight="1">
      <c r="A57" s="64" t="s">
        <v>117</v>
      </c>
      <c r="B57" s="60">
        <v>42100013</v>
      </c>
      <c r="C57" s="83">
        <v>80000</v>
      </c>
      <c r="D57" s="74">
        <f>26446.92+15719.97+15556.45</f>
        <v>57723.34</v>
      </c>
      <c r="E57" s="367">
        <v>15556.45</v>
      </c>
      <c r="G57" s="221"/>
    </row>
    <row r="58" spans="1:7" ht="21.75" customHeight="1">
      <c r="A58" s="219" t="s">
        <v>166</v>
      </c>
      <c r="B58" s="60">
        <v>42100015</v>
      </c>
      <c r="C58" s="65">
        <v>760000</v>
      </c>
      <c r="D58" s="74">
        <f>30582+56913+30739+77175+38804+34641+48437</f>
        <v>317291</v>
      </c>
      <c r="E58" s="367">
        <v>48437</v>
      </c>
      <c r="G58" s="221"/>
    </row>
    <row r="59" spans="1:7" ht="21.75" customHeight="1">
      <c r="A59" s="64" t="s">
        <v>244</v>
      </c>
      <c r="B59" s="60">
        <v>42199999</v>
      </c>
      <c r="C59" s="92">
        <v>1000</v>
      </c>
      <c r="D59" s="147">
        <v>0</v>
      </c>
      <c r="E59" s="368">
        <v>0</v>
      </c>
      <c r="G59" s="221"/>
    </row>
    <row r="60" spans="1:7" ht="21.75" customHeight="1">
      <c r="A60" s="69" t="s">
        <v>17</v>
      </c>
      <c r="B60" s="80"/>
      <c r="C60" s="239">
        <f>SUM(C50:C59)</f>
        <v>14181000</v>
      </c>
      <c r="D60" s="380">
        <f>SUM(D50:D59)</f>
        <v>10117344.26</v>
      </c>
      <c r="E60" s="381">
        <f>SUM(E50:E59)</f>
        <v>1253109.5999999999</v>
      </c>
      <c r="G60" s="208"/>
    </row>
    <row r="61" spans="1:5" ht="21.75" customHeight="1">
      <c r="A61" s="88" t="s">
        <v>77</v>
      </c>
      <c r="B61" s="86"/>
      <c r="C61" s="240"/>
      <c r="D61" s="382">
        <f>SUM(D47+D60)</f>
        <v>13410047.08</v>
      </c>
      <c r="E61" s="381">
        <f>SUM(E47+E60)</f>
        <v>1659971.5099999998</v>
      </c>
    </row>
    <row r="62" spans="1:5" ht="21.75" customHeight="1">
      <c r="A62" s="89" t="s">
        <v>193</v>
      </c>
      <c r="B62" s="60">
        <v>43000000</v>
      </c>
      <c r="C62" s="241"/>
      <c r="D62" s="78"/>
      <c r="E62" s="363"/>
    </row>
    <row r="63" spans="1:5" ht="21.75" customHeight="1">
      <c r="A63" s="62" t="s">
        <v>105</v>
      </c>
      <c r="B63" s="60">
        <v>43100000</v>
      </c>
      <c r="C63" s="240">
        <v>15000000</v>
      </c>
      <c r="D63" s="78"/>
      <c r="E63" s="363"/>
    </row>
    <row r="64" spans="1:5" ht="21.75" customHeight="1">
      <c r="A64" s="64" t="s">
        <v>245</v>
      </c>
      <c r="B64" s="60">
        <v>43100000</v>
      </c>
      <c r="C64" s="61"/>
      <c r="D64" s="179"/>
      <c r="E64" s="359"/>
    </row>
    <row r="65" spans="1:5" ht="21.75" customHeight="1">
      <c r="A65" s="64" t="s">
        <v>309</v>
      </c>
      <c r="B65" s="60">
        <v>43100000</v>
      </c>
      <c r="C65" s="65"/>
      <c r="D65" s="66">
        <f>1447800+927200+464500+1395300</f>
        <v>4234800</v>
      </c>
      <c r="E65" s="356">
        <v>0</v>
      </c>
    </row>
    <row r="66" spans="1:5" ht="21.75" customHeight="1">
      <c r="A66" s="64" t="s">
        <v>310</v>
      </c>
      <c r="B66" s="60">
        <v>43100000</v>
      </c>
      <c r="C66" s="65"/>
      <c r="D66" s="66">
        <f>273600+268800+278400</f>
        <v>820800</v>
      </c>
      <c r="E66" s="356">
        <v>0</v>
      </c>
    </row>
    <row r="67" spans="1:7" ht="21.75" customHeight="1">
      <c r="A67" s="64" t="s">
        <v>311</v>
      </c>
      <c r="B67" s="60">
        <v>43100000</v>
      </c>
      <c r="C67" s="65"/>
      <c r="D67" s="66">
        <f>3000+2000+1000+3000</f>
        <v>9000</v>
      </c>
      <c r="E67" s="356">
        <v>0</v>
      </c>
      <c r="G67" s="208"/>
    </row>
    <row r="68" spans="1:7" ht="21.75" customHeight="1">
      <c r="A68" s="80" t="s">
        <v>305</v>
      </c>
      <c r="B68" s="60">
        <v>43100000</v>
      </c>
      <c r="C68" s="65"/>
      <c r="D68" s="66">
        <f>532920+477780+634700</f>
        <v>1645400</v>
      </c>
      <c r="E68" s="356">
        <v>0</v>
      </c>
      <c r="F68" s="293"/>
      <c r="G68" s="208"/>
    </row>
    <row r="69" spans="1:5" ht="21.75" customHeight="1">
      <c r="A69" s="64" t="s">
        <v>284</v>
      </c>
      <c r="B69" s="60">
        <v>43100000</v>
      </c>
      <c r="C69" s="65"/>
      <c r="D69" s="66">
        <f>261800</f>
        <v>261800</v>
      </c>
      <c r="E69" s="356">
        <v>0</v>
      </c>
    </row>
    <row r="70" spans="1:7" s="207" customFormat="1" ht="21.75" customHeight="1">
      <c r="A70" s="211" t="s">
        <v>306</v>
      </c>
      <c r="B70" s="70">
        <v>43100000</v>
      </c>
      <c r="C70" s="65"/>
      <c r="D70" s="66">
        <f>200200+211480+202520</f>
        <v>614200</v>
      </c>
      <c r="E70" s="356">
        <v>0</v>
      </c>
      <c r="F70" s="291"/>
      <c r="G70" s="222" t="s">
        <v>241</v>
      </c>
    </row>
    <row r="71" spans="1:7" ht="21.75" customHeight="1">
      <c r="A71" s="212" t="s">
        <v>307</v>
      </c>
      <c r="B71" s="97">
        <v>43100000</v>
      </c>
      <c r="C71" s="98"/>
      <c r="D71" s="176">
        <f>327000+333000+330000</f>
        <v>990000</v>
      </c>
      <c r="E71" s="369">
        <v>0</v>
      </c>
      <c r="F71" s="292"/>
      <c r="G71" s="223" t="s">
        <v>240</v>
      </c>
    </row>
    <row r="72" spans="1:6" ht="21.75" customHeight="1">
      <c r="A72" s="93"/>
      <c r="B72" s="94"/>
      <c r="C72" s="78"/>
      <c r="D72" s="183"/>
      <c r="E72" s="375" t="s">
        <v>169</v>
      </c>
      <c r="F72" s="291"/>
    </row>
    <row r="73" spans="1:5" ht="21.75" customHeight="1">
      <c r="A73" s="58" t="s">
        <v>19</v>
      </c>
      <c r="B73" s="56" t="s">
        <v>2</v>
      </c>
      <c r="C73" s="57" t="s">
        <v>24</v>
      </c>
      <c r="D73" s="177" t="s">
        <v>61</v>
      </c>
      <c r="E73" s="354" t="s">
        <v>62</v>
      </c>
    </row>
    <row r="74" spans="1:5" ht="21.75" customHeight="1">
      <c r="A74" s="62" t="s">
        <v>105</v>
      </c>
      <c r="B74" s="86"/>
      <c r="C74" s="83"/>
      <c r="D74" s="66"/>
      <c r="E74" s="366"/>
    </row>
    <row r="75" spans="1:5" ht="21.75" customHeight="1">
      <c r="A75" s="211" t="s">
        <v>304</v>
      </c>
      <c r="B75" s="60">
        <v>43100000</v>
      </c>
      <c r="C75" s="83"/>
      <c r="D75" s="66">
        <f>73772+85270+79522</f>
        <v>238564</v>
      </c>
      <c r="E75" s="366">
        <v>0</v>
      </c>
    </row>
    <row r="76" spans="1:6" ht="21.75" customHeight="1">
      <c r="A76" s="242" t="s">
        <v>308</v>
      </c>
      <c r="B76" s="60">
        <v>43100000</v>
      </c>
      <c r="C76" s="83"/>
      <c r="D76" s="66">
        <f>156649+159523+158086</f>
        <v>474258</v>
      </c>
      <c r="E76" s="366">
        <v>0</v>
      </c>
      <c r="F76" s="293"/>
    </row>
    <row r="77" spans="1:5" ht="21.75" customHeight="1">
      <c r="A77" s="64" t="s">
        <v>203</v>
      </c>
      <c r="B77" s="60">
        <v>43100000</v>
      </c>
      <c r="C77" s="83"/>
      <c r="D77" s="66">
        <v>0</v>
      </c>
      <c r="E77" s="366">
        <v>0</v>
      </c>
    </row>
    <row r="78" spans="1:6" ht="21.75" customHeight="1">
      <c r="A78" s="377" t="s">
        <v>292</v>
      </c>
      <c r="B78" s="60">
        <v>43100002</v>
      </c>
      <c r="C78" s="83"/>
      <c r="D78" s="66">
        <f>240000</f>
        <v>240000</v>
      </c>
      <c r="E78" s="366">
        <v>0</v>
      </c>
      <c r="F78" s="294"/>
    </row>
    <row r="79" spans="1:8" ht="21.75" customHeight="1">
      <c r="A79" s="243" t="s">
        <v>282</v>
      </c>
      <c r="B79" s="60">
        <v>43100002</v>
      </c>
      <c r="C79" s="83"/>
      <c r="D79" s="66">
        <f>24240</f>
        <v>24240</v>
      </c>
      <c r="E79" s="366">
        <v>0</v>
      </c>
      <c r="F79" s="291"/>
      <c r="G79" s="222"/>
      <c r="H79" s="207"/>
    </row>
    <row r="80" spans="1:7" ht="21.75" customHeight="1">
      <c r="A80" s="243" t="s">
        <v>283</v>
      </c>
      <c r="B80" s="60">
        <v>43100002</v>
      </c>
      <c r="C80" s="83"/>
      <c r="D80" s="66">
        <f>2424</f>
        <v>2424</v>
      </c>
      <c r="E80" s="366">
        <v>0</v>
      </c>
      <c r="F80" s="295"/>
      <c r="G80" s="222"/>
    </row>
    <row r="81" spans="1:7" ht="21.75" customHeight="1">
      <c r="A81" s="243" t="s">
        <v>334</v>
      </c>
      <c r="B81" s="60">
        <v>43100002</v>
      </c>
      <c r="C81" s="83"/>
      <c r="D81" s="66">
        <f>50310</f>
        <v>50310</v>
      </c>
      <c r="E81" s="366">
        <v>50310</v>
      </c>
      <c r="F81" s="294"/>
      <c r="G81" s="222"/>
    </row>
    <row r="82" spans="1:7" ht="21.75" customHeight="1">
      <c r="A82" s="243" t="s">
        <v>335</v>
      </c>
      <c r="B82" s="60">
        <v>43100002</v>
      </c>
      <c r="C82" s="83"/>
      <c r="D82" s="66">
        <f>35100</f>
        <v>35100</v>
      </c>
      <c r="E82" s="366">
        <v>35100</v>
      </c>
      <c r="F82" s="294"/>
      <c r="G82" s="222"/>
    </row>
    <row r="83" spans="1:7" ht="21.75" customHeight="1">
      <c r="A83" s="243" t="s">
        <v>336</v>
      </c>
      <c r="B83" s="60">
        <v>43100002</v>
      </c>
      <c r="C83" s="83"/>
      <c r="D83" s="66">
        <f>23400</f>
        <v>23400</v>
      </c>
      <c r="E83" s="366">
        <v>23400</v>
      </c>
      <c r="F83" s="294"/>
      <c r="G83" s="222"/>
    </row>
    <row r="84" spans="1:7" ht="21.75" customHeight="1">
      <c r="A84" s="243" t="s">
        <v>337</v>
      </c>
      <c r="B84" s="60">
        <v>43100002</v>
      </c>
      <c r="C84" s="83"/>
      <c r="D84" s="66">
        <f>23400</f>
        <v>23400</v>
      </c>
      <c r="E84" s="366">
        <v>23400</v>
      </c>
      <c r="F84" s="294"/>
      <c r="G84" s="222"/>
    </row>
    <row r="85" spans="1:6" ht="21.75" customHeight="1">
      <c r="A85" s="64" t="s">
        <v>246</v>
      </c>
      <c r="B85" s="60">
        <v>43100002</v>
      </c>
      <c r="C85" s="61"/>
      <c r="D85" s="65">
        <f>1382105+1486601</f>
        <v>2868706</v>
      </c>
      <c r="E85" s="366">
        <v>0</v>
      </c>
      <c r="F85" s="290" t="s">
        <v>280</v>
      </c>
    </row>
    <row r="86" spans="1:5" ht="21.75" customHeight="1">
      <c r="A86" s="64" t="s">
        <v>242</v>
      </c>
      <c r="B86" s="60"/>
      <c r="C86" s="61"/>
      <c r="D86" s="92"/>
      <c r="E86" s="369"/>
    </row>
    <row r="87" spans="1:5" ht="21.75" customHeight="1" thickBot="1">
      <c r="A87" s="88" t="s">
        <v>106</v>
      </c>
      <c r="B87" s="86"/>
      <c r="C87" s="239">
        <f>SUM(C63)</f>
        <v>15000000</v>
      </c>
      <c r="D87" s="383">
        <f>SUM(D64:D85)</f>
        <v>12556402</v>
      </c>
      <c r="E87" s="384">
        <f>SUM(E65:E85)</f>
        <v>132210</v>
      </c>
    </row>
    <row r="88" spans="1:5" ht="21.75" customHeight="1">
      <c r="A88" s="95" t="s">
        <v>78</v>
      </c>
      <c r="B88" s="86"/>
      <c r="C88" s="239">
        <f>SUM(C12+C26+C30+C33+C43+C46+C60+C63)</f>
        <v>32918500</v>
      </c>
      <c r="D88" s="385">
        <f>SUM(D61+D87)</f>
        <v>25966449.08</v>
      </c>
      <c r="E88" s="386">
        <f>SUM(E61+E87)</f>
        <v>1792181.5099999998</v>
      </c>
    </row>
    <row r="89" spans="1:5" ht="21.75" customHeight="1">
      <c r="A89" s="228" t="s">
        <v>248</v>
      </c>
      <c r="B89" s="86"/>
      <c r="C89" s="61"/>
      <c r="D89" s="229"/>
      <c r="E89" s="370"/>
    </row>
    <row r="90" spans="1:5" ht="21.75" customHeight="1">
      <c r="A90" s="62" t="s">
        <v>125</v>
      </c>
      <c r="B90" s="60">
        <v>44100000</v>
      </c>
      <c r="C90" s="61"/>
      <c r="D90" s="179"/>
      <c r="E90" s="359"/>
    </row>
    <row r="91" spans="1:5" ht="21.75" customHeight="1">
      <c r="A91" s="64" t="s">
        <v>249</v>
      </c>
      <c r="B91" s="60"/>
      <c r="C91" s="65"/>
      <c r="D91" s="179"/>
      <c r="E91" s="359"/>
    </row>
    <row r="92" spans="1:6" ht="21.75" customHeight="1">
      <c r="A92" s="306" t="s">
        <v>264</v>
      </c>
      <c r="B92" s="60">
        <v>44100001</v>
      </c>
      <c r="C92" s="61"/>
      <c r="D92" s="179">
        <f>495000</f>
        <v>495000</v>
      </c>
      <c r="E92" s="359">
        <v>0</v>
      </c>
      <c r="F92" s="317" t="s">
        <v>272</v>
      </c>
    </row>
    <row r="93" spans="1:6" ht="21.75" customHeight="1">
      <c r="A93" s="307" t="s">
        <v>265</v>
      </c>
      <c r="B93" s="60">
        <v>44100002</v>
      </c>
      <c r="C93" s="61"/>
      <c r="D93" s="179">
        <f>1003126</f>
        <v>1003126</v>
      </c>
      <c r="E93" s="359">
        <v>0</v>
      </c>
      <c r="F93" s="317" t="s">
        <v>272</v>
      </c>
    </row>
    <row r="94" spans="1:6" ht="21.75" customHeight="1">
      <c r="A94" s="307" t="s">
        <v>266</v>
      </c>
      <c r="B94" s="60">
        <v>44100003</v>
      </c>
      <c r="C94" s="61"/>
      <c r="D94" s="179">
        <f>996000+996000</f>
        <v>1992000</v>
      </c>
      <c r="E94" s="359">
        <v>996000</v>
      </c>
      <c r="F94" s="379" t="s">
        <v>272</v>
      </c>
    </row>
    <row r="95" spans="1:6" ht="21.75" customHeight="1">
      <c r="A95" s="306" t="s">
        <v>269</v>
      </c>
      <c r="B95" s="60">
        <v>44100004</v>
      </c>
      <c r="C95" s="65"/>
      <c r="D95" s="179">
        <f>1247500</f>
        <v>1247500</v>
      </c>
      <c r="E95" s="359">
        <v>0</v>
      </c>
      <c r="F95" s="317" t="s">
        <v>272</v>
      </c>
    </row>
    <row r="96" spans="1:6" ht="21.75" customHeight="1">
      <c r="A96" s="308" t="s">
        <v>267</v>
      </c>
      <c r="B96" s="60">
        <v>44100005</v>
      </c>
      <c r="C96" s="65"/>
      <c r="D96" s="179">
        <f>400000</f>
        <v>400000</v>
      </c>
      <c r="E96" s="359">
        <v>0</v>
      </c>
      <c r="F96" s="317" t="s">
        <v>272</v>
      </c>
    </row>
    <row r="97" spans="1:6" ht="21.75" customHeight="1">
      <c r="A97" s="308" t="s">
        <v>268</v>
      </c>
      <c r="B97" s="60">
        <v>44100006</v>
      </c>
      <c r="C97" s="65"/>
      <c r="D97" s="179">
        <f>1297192</f>
        <v>1297192</v>
      </c>
      <c r="E97" s="359">
        <v>0</v>
      </c>
      <c r="F97" s="317" t="s">
        <v>272</v>
      </c>
    </row>
    <row r="98" spans="1:5" ht="21.75" customHeight="1">
      <c r="A98" s="88" t="s">
        <v>285</v>
      </c>
      <c r="B98" s="60"/>
      <c r="C98" s="61"/>
      <c r="D98" s="387">
        <f>SUM(D91:D97)</f>
        <v>6434818</v>
      </c>
      <c r="E98" s="388">
        <f>SUM(E92:E97)</f>
        <v>996000</v>
      </c>
    </row>
    <row r="99" spans="1:5" ht="21.75" customHeight="1">
      <c r="A99" s="62" t="s">
        <v>300</v>
      </c>
      <c r="B99" s="60"/>
      <c r="C99" s="61"/>
      <c r="D99" s="179"/>
      <c r="E99" s="359"/>
    </row>
    <row r="100" spans="1:6" ht="21.75" customHeight="1">
      <c r="A100" s="378" t="s">
        <v>286</v>
      </c>
      <c r="B100" s="341">
        <v>44100007</v>
      </c>
      <c r="C100" s="65"/>
      <c r="D100" s="179">
        <f>30700</f>
        <v>30700</v>
      </c>
      <c r="E100" s="359">
        <v>0</v>
      </c>
      <c r="F100" s="316" t="s">
        <v>281</v>
      </c>
    </row>
    <row r="101" spans="1:5" ht="21.75" customHeight="1">
      <c r="A101" s="332" t="s">
        <v>293</v>
      </c>
      <c r="B101" s="333">
        <v>44100008</v>
      </c>
      <c r="C101" s="61"/>
      <c r="D101" s="179">
        <f>471000</f>
        <v>471000</v>
      </c>
      <c r="E101" s="359">
        <v>0</v>
      </c>
    </row>
    <row r="102" spans="1:5" ht="21.75" customHeight="1">
      <c r="A102" s="332" t="s">
        <v>294</v>
      </c>
      <c r="B102" s="333">
        <v>44100009</v>
      </c>
      <c r="C102" s="61"/>
      <c r="D102" s="179">
        <f>428000</f>
        <v>428000</v>
      </c>
      <c r="E102" s="359">
        <v>0</v>
      </c>
    </row>
    <row r="103" spans="1:5" ht="21.75" customHeight="1">
      <c r="A103" s="332" t="s">
        <v>295</v>
      </c>
      <c r="B103" s="333">
        <v>44100010</v>
      </c>
      <c r="C103" s="61"/>
      <c r="D103" s="179">
        <f>477000</f>
        <v>477000</v>
      </c>
      <c r="E103" s="359">
        <v>0</v>
      </c>
    </row>
    <row r="104" spans="1:5" ht="21.75" customHeight="1">
      <c r="A104" s="334" t="s">
        <v>296</v>
      </c>
      <c r="B104" s="333">
        <v>44100011</v>
      </c>
      <c r="C104" s="61"/>
      <c r="D104" s="179">
        <f>471000</f>
        <v>471000</v>
      </c>
      <c r="E104" s="359">
        <v>0</v>
      </c>
    </row>
    <row r="105" spans="1:5" ht="21.75" customHeight="1">
      <c r="A105" s="334" t="s">
        <v>297</v>
      </c>
      <c r="B105" s="333">
        <v>44100012</v>
      </c>
      <c r="C105" s="61"/>
      <c r="D105" s="179">
        <f>471000</f>
        <v>471000</v>
      </c>
      <c r="E105" s="359">
        <v>0</v>
      </c>
    </row>
    <row r="106" spans="1:5" ht="21.75" customHeight="1">
      <c r="A106" s="334" t="s">
        <v>298</v>
      </c>
      <c r="B106" s="333">
        <v>44100013</v>
      </c>
      <c r="C106" s="61"/>
      <c r="D106" s="182">
        <f>477000</f>
        <v>477000</v>
      </c>
      <c r="E106" s="359">
        <v>0</v>
      </c>
    </row>
    <row r="107" spans="1:5" ht="21.75" customHeight="1">
      <c r="A107" s="389" t="s">
        <v>299</v>
      </c>
      <c r="B107" s="390">
        <v>44100014</v>
      </c>
      <c r="C107" s="230"/>
      <c r="D107" s="391">
        <f>477000</f>
        <v>477000</v>
      </c>
      <c r="E107" s="392">
        <v>0</v>
      </c>
    </row>
    <row r="108" spans="1:5" ht="21.75" customHeight="1">
      <c r="A108" s="93"/>
      <c r="B108" s="94"/>
      <c r="C108" s="78"/>
      <c r="D108" s="183"/>
      <c r="E108" s="375" t="s">
        <v>170</v>
      </c>
    </row>
    <row r="109" spans="1:5" ht="21.75" customHeight="1">
      <c r="A109" s="58" t="s">
        <v>19</v>
      </c>
      <c r="B109" s="56" t="s">
        <v>2</v>
      </c>
      <c r="C109" s="57" t="s">
        <v>24</v>
      </c>
      <c r="D109" s="177" t="s">
        <v>61</v>
      </c>
      <c r="E109" s="354" t="s">
        <v>62</v>
      </c>
    </row>
    <row r="110" spans="1:5" ht="21.75" customHeight="1">
      <c r="A110" s="62" t="s">
        <v>300</v>
      </c>
      <c r="B110" s="54"/>
      <c r="C110" s="343"/>
      <c r="D110" s="54"/>
      <c r="E110" s="372"/>
    </row>
    <row r="111" spans="1:5" ht="19.5" customHeight="1">
      <c r="A111" s="342" t="s">
        <v>301</v>
      </c>
      <c r="B111" s="333">
        <v>44100015</v>
      </c>
      <c r="C111" s="61"/>
      <c r="D111" s="335">
        <f>415000</f>
        <v>415000</v>
      </c>
      <c r="E111" s="359">
        <v>0</v>
      </c>
    </row>
    <row r="112" spans="1:5" ht="19.5" customHeight="1">
      <c r="A112" s="331" t="s">
        <v>303</v>
      </c>
      <c r="B112" s="333">
        <v>44100016</v>
      </c>
      <c r="C112" s="61"/>
      <c r="D112" s="336">
        <f>471000</f>
        <v>471000</v>
      </c>
      <c r="E112" s="359">
        <v>0</v>
      </c>
    </row>
    <row r="113" spans="1:5" ht="19.5" customHeight="1">
      <c r="A113" s="331" t="s">
        <v>302</v>
      </c>
      <c r="B113" s="333">
        <v>44100017</v>
      </c>
      <c r="C113" s="65"/>
      <c r="D113" s="179">
        <f>472000</f>
        <v>472000</v>
      </c>
      <c r="E113" s="359">
        <v>0</v>
      </c>
    </row>
    <row r="114" spans="1:5" ht="19.5" customHeight="1">
      <c r="A114" s="313"/>
      <c r="B114" s="325"/>
      <c r="C114" s="65"/>
      <c r="D114" s="179"/>
      <c r="E114" s="359"/>
    </row>
    <row r="115" spans="1:5" ht="19.5" customHeight="1">
      <c r="A115" s="313"/>
      <c r="B115" s="325"/>
      <c r="C115" s="65"/>
      <c r="D115" s="179"/>
      <c r="E115" s="359"/>
    </row>
    <row r="116" spans="1:5" ht="19.5" customHeight="1">
      <c r="A116" s="313"/>
      <c r="B116" s="325"/>
      <c r="C116" s="65"/>
      <c r="D116" s="179"/>
      <c r="E116" s="359"/>
    </row>
    <row r="117" spans="1:5" ht="19.5" customHeight="1">
      <c r="A117" s="313"/>
      <c r="B117" s="325"/>
      <c r="C117" s="65"/>
      <c r="D117" s="179"/>
      <c r="E117" s="359"/>
    </row>
    <row r="118" spans="1:5" ht="19.5" customHeight="1">
      <c r="A118" s="313"/>
      <c r="B118" s="325"/>
      <c r="C118" s="65"/>
      <c r="D118" s="179"/>
      <c r="E118" s="359"/>
    </row>
    <row r="119" spans="1:5" ht="19.5" customHeight="1">
      <c r="A119" s="313"/>
      <c r="B119" s="325"/>
      <c r="C119" s="65"/>
      <c r="D119" s="179"/>
      <c r="E119" s="359"/>
    </row>
    <row r="120" spans="1:5" ht="19.5" customHeight="1">
      <c r="A120" s="313"/>
      <c r="B120" s="325"/>
      <c r="C120" s="65"/>
      <c r="D120" s="179"/>
      <c r="E120" s="359"/>
    </row>
    <row r="121" spans="1:5" ht="19.5" customHeight="1">
      <c r="A121" s="313"/>
      <c r="B121" s="325"/>
      <c r="C121" s="65"/>
      <c r="D121" s="179"/>
      <c r="E121" s="359"/>
    </row>
    <row r="122" spans="1:5" ht="19.5" customHeight="1">
      <c r="A122" s="211"/>
      <c r="B122" s="60"/>
      <c r="C122" s="61"/>
      <c r="D122" s="179"/>
      <c r="E122" s="359"/>
    </row>
    <row r="123" spans="1:5" ht="19.5" customHeight="1">
      <c r="A123" s="211"/>
      <c r="B123" s="60"/>
      <c r="C123" s="61"/>
      <c r="D123" s="179"/>
      <c r="E123" s="359"/>
    </row>
    <row r="124" spans="1:5" ht="19.5" customHeight="1">
      <c r="A124" s="211"/>
      <c r="B124" s="60"/>
      <c r="C124" s="61"/>
      <c r="D124" s="179"/>
      <c r="E124" s="359"/>
    </row>
    <row r="125" spans="1:5" ht="19.5" customHeight="1">
      <c r="A125" s="80"/>
      <c r="B125" s="60"/>
      <c r="C125" s="61"/>
      <c r="D125" s="179"/>
      <c r="E125" s="359"/>
    </row>
    <row r="126" spans="1:6" ht="19.5" customHeight="1">
      <c r="A126" s="58" t="s">
        <v>17</v>
      </c>
      <c r="B126" s="296"/>
      <c r="C126" s="231"/>
      <c r="D126" s="305">
        <f>SUM(D100:D125)</f>
        <v>4660700</v>
      </c>
      <c r="E126" s="371">
        <f>SUM(E101:E125)</f>
        <v>0</v>
      </c>
      <c r="F126" s="290">
        <v>4660700</v>
      </c>
    </row>
    <row r="127" spans="1:6" ht="19.5" customHeight="1" thickBot="1">
      <c r="A127" s="88" t="s">
        <v>79</v>
      </c>
      <c r="B127" s="96"/>
      <c r="C127" s="230"/>
      <c r="D127" s="72">
        <f>SUM(D126:D126)</f>
        <v>4660700</v>
      </c>
      <c r="E127" s="373">
        <f>SUM(E126:E126)</f>
        <v>0</v>
      </c>
      <c r="F127" s="290">
        <v>4630000</v>
      </c>
    </row>
    <row r="128" ht="19.5" customHeight="1">
      <c r="F128" s="290">
        <f>SUM(F126-F127)</f>
        <v>30700</v>
      </c>
    </row>
  </sheetData>
  <sheetProtection/>
  <mergeCells count="4">
    <mergeCell ref="A1:E1"/>
    <mergeCell ref="A2:E2"/>
    <mergeCell ref="A3:E3"/>
    <mergeCell ref="A4:E4"/>
  </mergeCells>
  <printOptions/>
  <pageMargins left="0.2362204724409449" right="0" top="0.4330708661417323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2019-06-11T03:48:46Z</cp:lastPrinted>
  <dcterms:created xsi:type="dcterms:W3CDTF">2013-06-07T04:08:05Z</dcterms:created>
  <dcterms:modified xsi:type="dcterms:W3CDTF">2019-06-13T08:23:42Z</dcterms:modified>
  <cp:category/>
  <cp:version/>
  <cp:contentType/>
  <cp:contentStatus/>
</cp:coreProperties>
</file>