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2120" windowHeight="6960" tabRatio="598" activeTab="0"/>
  </bookViews>
  <sheets>
    <sheet name="รับจ่ายเงินจริง" sheetId="1" r:id="rId1"/>
    <sheet name="งบทดลอง" sheetId="2" r:id="rId2"/>
    <sheet name="หมายเหตุ 1 รายงานรับ-จ่ายเงินสด" sheetId="3" r:id="rId3"/>
    <sheet name="กระดาษทำการทุนสำรองฯ " sheetId="4" r:id="rId4"/>
    <sheet name="กระดาษทำการจ่ายจากเงินสะสม" sheetId="5" r:id="rId5"/>
    <sheet name="กระดาษทำการจ่ายจากรายรับ" sheetId="6" r:id="rId6"/>
  </sheets>
  <definedNames/>
  <calcPr fullCalcOnLoad="1"/>
</workbook>
</file>

<file path=xl/sharedStrings.xml><?xml version="1.0" encoding="utf-8"?>
<sst xmlns="http://schemas.openxmlformats.org/spreadsheetml/2006/main" count="1317" uniqueCount="439">
  <si>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</si>
  <si>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</si>
  <si>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</si>
  <si>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</si>
  <si>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</si>
  <si>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</si>
  <si>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</si>
  <si>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</si>
  <si>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</si>
  <si>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</si>
  <si>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</si>
  <si>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</si>
  <si>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</si>
  <si>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</si>
  <si>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</si>
  <si>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</si>
  <si>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</si>
  <si>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</si>
  <si>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</si>
  <si>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</si>
  <si>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</si>
  <si>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อำเภอฉวาง   จังหวัดนครศรีธรรมราช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</si>
  <si>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</si>
  <si>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</si>
  <si>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</si>
  <si>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</si>
  <si>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</si>
  <si>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</si>
  <si>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</si>
  <si>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</si>
  <si>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</si>
  <si>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</si>
  <si>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</si>
  <si>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</si>
  <si>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</si>
  <si>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</si>
  <si>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</si>
  <si>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</si>
  <si>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</si>
  <si>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</si>
  <si>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</si>
  <si>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</si>
  <si>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</si>
  <si>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</si>
  <si>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</si>
  <si>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</si>
  <si>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</si>
  <si>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</si>
  <si>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</si>
  <si>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</si>
  <si>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</si>
  <si>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</si>
  <si>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</si>
  <si>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</si>
  <si>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</si>
  <si>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</si>
  <si>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</si>
  <si>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กระดาษทำการกระทบยอด</t>
  </si>
  <si>
    <t>รายจ่ายตามงบประมาณ (จ่ายจากรายรับ)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</si>
  <si>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</si>
  <si>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</si>
  <si>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</si>
  <si>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</si>
  <si>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</si>
  <si>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</si>
  <si>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</si>
  <si>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</si>
  <si>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</si>
  <si>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</si>
  <si>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</si>
  <si>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แผนงานบริหารทั่วไป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</si>
  <si>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</si>
  <si>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</si>
  <si>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</si>
  <si>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</si>
  <si>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</si>
  <si>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</si>
  <si>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แผนงานการเกษตร</t>
  </si>
  <si>
    <t>แผนงานการพาณิชย์</t>
  </si>
  <si>
    <t>แผนงานงบกลาง</t>
  </si>
  <si>
    <t>00111</t>
  </si>
  <si>
    <t>00113</t>
  </si>
  <si>
    <t>00121</t>
  </si>
  <si>
    <t>00123</t>
  </si>
  <si>
    <t>00211</t>
  </si>
  <si>
    <t>00212</t>
  </si>
  <si>
    <t>00221</t>
  </si>
  <si>
    <t>00223</t>
  </si>
  <si>
    <t>00241</t>
  </si>
  <si>
    <t>00242</t>
  </si>
  <si>
    <t>00244</t>
  </si>
  <si>
    <t>00252</t>
  </si>
  <si>
    <t>00261</t>
  </si>
  <si>
    <t>00262</t>
  </si>
  <si>
    <t>00263</t>
  </si>
  <si>
    <t>00321</t>
  </si>
  <si>
    <t>00332</t>
  </si>
  <si>
    <t>00411</t>
  </si>
  <si>
    <t>งานบริหารทั่วไป</t>
  </si>
  <si>
    <t>งานบริหารงานคลัง</t>
  </si>
  <si>
    <t>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</si>
  <si>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</si>
  <si>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</si>
  <si>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</si>
  <si>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</si>
  <si>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</si>
  <si>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</si>
  <si>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</si>
  <si>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</si>
  <si>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งานส่งเสริมและสนับสนุนความเข้มแข็งชุมชน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</si>
  <si>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</si>
  <si>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</si>
  <si>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งานศาสนาวัฒนธรรมท้องถิ่น</t>
  </si>
  <si>
    <t>งานส่งเสริมการเกษตร</t>
  </si>
  <si>
    <t>งานกิจการประปา</t>
  </si>
  <si>
    <t>งบกลาง</t>
  </si>
  <si>
    <t>เงินสมทบกองทุนประกันสังคม</t>
  </si>
  <si>
    <t>เบี้ยยังชีพคนพิการ</t>
  </si>
  <si>
    <t>เบี้ยยังชีพผู้ป่วยเอดส์</t>
  </si>
  <si>
    <t>เงินสำรองจ่าย</t>
  </si>
  <si>
    <t>รวมเดือนนี้</t>
  </si>
  <si>
    <t>รวมตั้งแต่ต้นปี</t>
  </si>
  <si>
    <t>เงินเดือน (ฝ่ายการเมือง)</t>
  </si>
  <si>
    <t>เงินเดือนนายก/รองนายก</t>
  </si>
  <si>
    <t>ค่าตอบแทนเลขา</t>
  </si>
  <si>
    <t>ค่าตอบแทนสมาชิก</t>
  </si>
  <si>
    <t>เงินเดือน (ฝ่ายประจำ)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</si>
  <si>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</si>
  <si>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</si>
  <si>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</si>
  <si>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</si>
  <si>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เงินเพิ่มต่าง ๆ ของลูกจ้างประจำ</t>
  </si>
  <si>
    <t>ค่าจ้างพนักงานจ้าง</t>
  </si>
  <si>
    <t>เงินเพิ่มต่าง ๆ ของพนักงานจ้าง</t>
  </si>
  <si>
    <t>ค่าตอบแทนผู้ปฏิบัติราชการอันเป็นประโยชน์แก่ อปท.</t>
  </si>
  <si>
    <t>ค่าเบี้ยประชุม</t>
  </si>
  <si>
    <t>ค่าตอบแทนการปฏบัติงานนอกเวลาราชการ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</si>
  <si>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</si>
  <si>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</si>
  <si>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</si>
  <si>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รายจ่ายเพื่อให้ได้มาซึ่งบริการ</t>
  </si>
  <si>
    <t>รายจ่ายเพื่อบำรุงรักษาหรือซ่อมแซมทรัพย์สิน</t>
  </si>
  <si>
    <t>รายจ่ายเกี่ยวกับการรับรองหรือพิธีการ</t>
  </si>
  <si>
    <t>รายจ่ายเกี่ยวเนื่องกับการปฏิบัติราชการที่</t>
  </si>
  <si>
    <t>ไม่เข้าลักษณะรายจ่ายหมวดอื่น ๆ</t>
  </si>
  <si>
    <t>วัสดุสำนักงาน</t>
  </si>
  <si>
    <t>วัสดุงานบ้านงานครัว</t>
  </si>
  <si>
    <t>วัสดุเชื้อเพลิงและหล่อลื่น</t>
  </si>
  <si>
    <t>วัสดุวิทยาศาสตร์หรือการแพทย์</t>
  </si>
  <si>
    <t>วัสดุโฆษณาและเผยแพร่</t>
  </si>
  <si>
    <t>วัสดุคอมพิวเตอร์</t>
  </si>
  <si>
    <t>วัสดุอื่น ๆ</t>
  </si>
  <si>
    <t>ค่าไฟฟ้า</t>
  </si>
  <si>
    <t>ค่าน้ำประปา</t>
  </si>
  <si>
    <t>ค่าโทรศัพท์</t>
  </si>
  <si>
    <t>ค่าไปรษณีย์</t>
  </si>
  <si>
    <t>เงินอุดหนุนส่วนราชการ เอกชนหรือ</t>
  </si>
  <si>
    <t>กิจการเป็นสาธารณประโยชน์</t>
  </si>
  <si>
    <t>ครุภัณฑ์งานบ้านงานครัว</t>
  </si>
  <si>
    <t>ครุภัณฑ์คอมพิวเตอร์</t>
  </si>
  <si>
    <t>รวมทั้งสิ้นเดือนนี้</t>
  </si>
  <si>
    <t>รวมทั้งสิ้นตั้งแต่ต้นปี</t>
  </si>
  <si>
    <t>อำเภอฉวาง  จังหวัดนครศรีธรรมราช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</si>
  <si>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</si>
  <si>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</si>
  <si>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</si>
  <si>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</si>
  <si>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</si>
  <si>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</si>
  <si>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</si>
  <si>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</si>
  <si>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</si>
  <si>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</si>
  <si>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</si>
  <si>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รวมรายรับจริง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</si>
  <si>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</si>
  <si>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</si>
  <si>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</si>
  <si>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</si>
  <si>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</si>
  <si>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</si>
  <si>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</si>
  <si>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</si>
  <si>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>เงินสะสม</t>
  </si>
  <si>
    <t>เงินทุนสำรองเงินสะสม</t>
  </si>
  <si>
    <t>ค่าบริการโทรคมนาคม</t>
  </si>
  <si>
    <t>รับคืนเงินงบกลาง-เบี้ยผู้สูงอายุ-พิการ</t>
  </si>
  <si>
    <t>ครุภัณฑ์ไฟฟ้าและวิทยุ</t>
  </si>
  <si>
    <t>วัสดุแครื่องแต่งกาย</t>
  </si>
  <si>
    <t>หมวดภาษีจัดสรร</t>
  </si>
  <si>
    <t>รายจ่าย (จ่ายจากเงินสะสม)</t>
  </si>
  <si>
    <t>ลูกหนี้-เงินยืมเงินงบประมาณ</t>
  </si>
  <si>
    <t>เงินฝาก ก.ส.ท.</t>
  </si>
  <si>
    <t>หมวดเงินอุดหนุนทั่วไป</t>
  </si>
  <si>
    <t>รวมเงินอุดหนุนทั่วไป</t>
  </si>
  <si>
    <t>รายจ่ายตามข้อผูกพัน</t>
  </si>
  <si>
    <t>โบนัส</t>
  </si>
  <si>
    <t>(บาท)</t>
  </si>
  <si>
    <t>หมวดรายได้จากทุน</t>
  </si>
  <si>
    <t>1) ค่าขายทอดตลาดทรัพย์สิน</t>
  </si>
  <si>
    <t>7) ค่าภาคหลวงแร่</t>
  </si>
  <si>
    <t>รายได้รัฐบาลค้างรับ</t>
  </si>
  <si>
    <t>รายได้จากทุน</t>
  </si>
  <si>
    <t>(นายสง่าชัย  หนูเนียม)</t>
  </si>
  <si>
    <t>8) ค่าภาคหลวงปิโตรเลียม</t>
  </si>
  <si>
    <t>ค่าตอบแทนเลขา/ที่ปรึกษา</t>
  </si>
  <si>
    <t>ค่าตอบแทนสมาชิกสภา อปท.</t>
  </si>
  <si>
    <t>ปลัดเทศบาล รักษาราชการแทน</t>
  </si>
  <si>
    <t>นายกเทศมนตรีตำบลปากน้ำฉวาง</t>
  </si>
  <si>
    <t>วัสดุอาหารเสริมนม</t>
  </si>
  <si>
    <t>รับคืนเงินค่าลงทะเบียน</t>
  </si>
  <si>
    <t>ผู้อำนวยการกองคลัง</t>
  </si>
  <si>
    <t>เฉพาะกิจ(บาท)</t>
  </si>
  <si>
    <t>เงินอุดหนุนเฉพาะกิจ</t>
  </si>
  <si>
    <t>ลูกหนี้-เงินสะสม</t>
  </si>
  <si>
    <t>เจ้าหนี้เงินสะสม</t>
  </si>
  <si>
    <t>หมวดเงินอุดหนุนเฉพาะกิจ</t>
  </si>
  <si>
    <t>11) ค่าใบอนุญาตเกี่ยวกับการควบคุมอาคาร</t>
  </si>
  <si>
    <t>เบี้ยยังชีพผผู้สูงอายุ</t>
  </si>
  <si>
    <t>40000000</t>
  </si>
  <si>
    <t>31000000</t>
  </si>
  <si>
    <t>11044000</t>
  </si>
  <si>
    <t>11041000</t>
  </si>
  <si>
    <t>11012001</t>
  </si>
  <si>
    <t>11032000</t>
  </si>
  <si>
    <t>11047000</t>
  </si>
  <si>
    <t>11042000</t>
  </si>
  <si>
    <t>51000000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</si>
  <si>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</si>
  <si>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</si>
  <si>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</si>
  <si>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</si>
  <si>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</si>
  <si>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</si>
  <si>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</si>
  <si>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</si>
  <si>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21010000</t>
  </si>
  <si>
    <t>29010000</t>
  </si>
  <si>
    <t>32000000</t>
  </si>
  <si>
    <t>21040000</t>
  </si>
  <si>
    <t>41100000</t>
  </si>
  <si>
    <t>41210018</t>
  </si>
  <si>
    <t>41239999</t>
  </si>
  <si>
    <t>41399999</t>
  </si>
  <si>
    <t>41599999</t>
  </si>
  <si>
    <t>41500003</t>
  </si>
  <si>
    <t>41000000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</si>
  <si>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</si>
  <si>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</si>
  <si>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</si>
  <si>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</si>
  <si>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</si>
  <si>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</si>
  <si>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</si>
  <si>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</si>
  <si>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>114041000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</si>
  <si>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</si>
  <si>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รายจ่าย (จ่ายจากเงินทุนสำรองเงินสะสม)</t>
  </si>
  <si>
    <t>3) ภาษีมูลค่าเพิ่มตามพรบ.จัดสรรรายได้ฯ</t>
  </si>
  <si>
    <t>9) ค่าธรรมเนียมจดทะเบียนสิทธิและนิติกรรมประมวลกฎหมายที่ดิน</t>
  </si>
  <si>
    <t>ค่าบำรุงรักษาและปรับปรุงครุภัณฑ์</t>
  </si>
  <si>
    <t>หน้าที่ 2</t>
  </si>
  <si>
    <t>หน้าที่ 3</t>
  </si>
  <si>
    <t>หน้าที่ 4</t>
  </si>
  <si>
    <t>11011000</t>
  </si>
  <si>
    <t>56100000</t>
  </si>
  <si>
    <r>
      <t>ร</t>
    </r>
    <r>
      <rPr>
        <b/>
        <u val="single"/>
        <sz val="16"/>
        <rFont val="TH SarabunPSK"/>
        <family val="2"/>
      </rPr>
      <t>ายได้จัดเก็บเอง</t>
    </r>
  </si>
  <si>
    <t>41100001</t>
  </si>
  <si>
    <t>41100002</t>
  </si>
  <si>
    <t>41100003</t>
  </si>
  <si>
    <t>41210008</t>
  </si>
  <si>
    <t>41210007</t>
  </si>
  <si>
    <t>41210004</t>
  </si>
  <si>
    <t>41210029</t>
  </si>
  <si>
    <t>41210030</t>
  </si>
  <si>
    <t>41220002</t>
  </si>
  <si>
    <t>41230007</t>
  </si>
  <si>
    <t>4) ค่าธรรมเนียมตามประมวลกฎหมายที่ดินมาตรา 9</t>
  </si>
  <si>
    <t>6) ค่าธรรมเนียมกำจัดขยะมูลฝอย</t>
  </si>
  <si>
    <t>7) ค่าธรรมเนียมอื่นๆ</t>
  </si>
  <si>
    <t>8) ค่าปรับผู้กระทำผิดกฎหมายจราจรทางบก</t>
  </si>
  <si>
    <t>9) ค่าปรับผู้กระทำผิดกฎหมายและข้อบังคับท้องถิ่น</t>
  </si>
  <si>
    <t>10) ค่าปรับการผิดสัญญา</t>
  </si>
  <si>
    <t xml:space="preserve">12) ค่าใบอนุญาตอื่น ๆ </t>
  </si>
  <si>
    <t>41500004</t>
  </si>
  <si>
    <t>41600001</t>
  </si>
  <si>
    <t>รายได้ที่รัฐบาลอุดหนุนให้องค์กรปกครองส่วนท้องถิ่น</t>
  </si>
  <si>
    <t>รายงาน  รับ  -   จ่ายเงิน</t>
  </si>
  <si>
    <t>งานส่งเสริมและสนับสนุนฯ</t>
  </si>
  <si>
    <t>แผนงานสร้างความเข้มแข็งฯ</t>
  </si>
  <si>
    <t>ค่าบำรุงรักษาและปรับปรุงฯ</t>
  </si>
  <si>
    <t>สำรองจ่าย</t>
  </si>
  <si>
    <t>ปลัดเทศบาลตำบลปากน้ำฉวาง</t>
  </si>
  <si>
    <t>(นายบุญธรรม  รุ่งเรือง)</t>
  </si>
  <si>
    <t>1) รายได้จากสาธารณูปโภคและการพาณิชย์</t>
  </si>
  <si>
    <t>2)  รายได้จากทรัพย์สินอื่น ๆ</t>
  </si>
  <si>
    <t>4) ค่าตอบแทนหน่วยบริการแพทย์ฉุกเฉิน</t>
  </si>
  <si>
    <t>ค่าก่อสร้างสิ่งสาธารณูปโภค</t>
  </si>
  <si>
    <t>รายจ่ายเพื่อบำรุงรักษา/ซ่อมแซมทรัพย์สิน</t>
  </si>
  <si>
    <t>.</t>
  </si>
  <si>
    <t>รายได้ที่รัฐบาลเก็บแล้วจัดสรรให้องค์กรปกครองส่วนท้องถิ่น</t>
  </si>
  <si>
    <t>หมายเหตุ 1</t>
  </si>
  <si>
    <t>รายรับจริงประกอบงบทดลองและรายงานรับ - จ่ายเงิน</t>
  </si>
  <si>
    <t>11) เงินอุดหนุน - สวัสดิการช่วยเหลือการศึกษาบุตร</t>
  </si>
  <si>
    <t>วัสดุก่อสร้าง</t>
  </si>
  <si>
    <t>ครุภัณฑ์สำนักงาน</t>
  </si>
  <si>
    <t>วัสดุไฟฟ้าและวิทยุ</t>
  </si>
  <si>
    <t>เงินอุดหนุนส่วนราชการอื่น</t>
  </si>
  <si>
    <t>รายจ่ายค้างจ่าย (หมายเหตุ 3)</t>
  </si>
  <si>
    <t>เฉพาะกิจ</t>
  </si>
  <si>
    <t>11043001</t>
  </si>
  <si>
    <t>ค่าบำรุงรักษาและปรับปรุงที่ดินและสิ่งก่อสร้าง</t>
  </si>
  <si>
    <t>รายจ่ายค้างจ่าย (เงินงบประมาณ)</t>
  </si>
  <si>
    <t>รายจ่ายค้างจ่าย (เงินอุดหนุนเฉพาะกิจ)</t>
  </si>
  <si>
    <t>(ลงชื่อ).......................................................</t>
  </si>
  <si>
    <t>งบกลาง (กบท)</t>
  </si>
  <si>
    <t>งบกลาง (รายจ่ายตามข้อผูกพัน)</t>
  </si>
  <si>
    <t>งบกลาง (สำรองจ่าย )</t>
  </si>
  <si>
    <t>งบกลาง (ประกันสังคม)</t>
  </si>
  <si>
    <t>งบกลาง (เบี้ยยังชีพผู้ป่วยเอดส์)</t>
  </si>
  <si>
    <t>งบกลาง (เบี้ยยังชีพคนพิการ)</t>
  </si>
  <si>
    <t>ลูกหนี้เงินยืมเงิน  - งบประมาณ</t>
  </si>
  <si>
    <t xml:space="preserve">บัญชีเงินทุนสำรองเงินสะสม </t>
  </si>
  <si>
    <t xml:space="preserve">รายได้จากทรัพย์สิน </t>
  </si>
  <si>
    <t>51100000</t>
  </si>
  <si>
    <t>55100000</t>
  </si>
  <si>
    <t>44400000</t>
  </si>
  <si>
    <t>ลูกหนี้รายได้อื่นๆ - ค่าน้ำประปา</t>
  </si>
  <si>
    <t>21040099</t>
  </si>
  <si>
    <t>บัญชีเงินสะสม (จ่ายขาดเงินสะสม)</t>
  </si>
  <si>
    <r>
      <t>รายรับ</t>
    </r>
    <r>
      <rPr>
        <b/>
        <sz val="12"/>
        <rFont val="TH SarabunPSK"/>
        <family val="2"/>
      </rPr>
      <t xml:space="preserve"> </t>
    </r>
  </si>
  <si>
    <t>ลูกหนี้รายได้อื่นๆ - ค่าธรรมเนียมกำจัดขยะมูลฝอย</t>
  </si>
  <si>
    <t>ลูกหนี้ - ภาษีโรงเรือนและที่ดิน</t>
  </si>
  <si>
    <t>ลูกหนี้ - เงินยืมเงินงบประมาณ</t>
  </si>
  <si>
    <t>3) ค่าธรรมเนียมเก็บและขนขยะมูลฝอย</t>
  </si>
  <si>
    <t>5) ค่าธรรมเนียมจดทะเบียนพาณิชย์</t>
  </si>
  <si>
    <t>2) ค่าธรรมเนียมเกี่ยวกับการควบคุมอาคาร</t>
  </si>
  <si>
    <t>1) ค่าธรรมเนียมเกี่ยวกับใบอนุญาตการขายสุรา</t>
  </si>
  <si>
    <t>2) ค่าขายแบบแปลน</t>
  </si>
  <si>
    <t>3) รายได้เบ็ดเตล็ดอื่นๆ</t>
  </si>
  <si>
    <t>1) เงินที่มีผู้อุทิศให้</t>
  </si>
  <si>
    <t>2) ภาษีมูลค่าเพิ่ม ตามพรบ. กำหนดแผนฯ</t>
  </si>
  <si>
    <t>บัญชีเงินรับฝาก  (หมายเหตุ 2)</t>
  </si>
  <si>
    <r>
      <t xml:space="preserve">เงินรับฝาก </t>
    </r>
    <r>
      <rPr>
        <u val="single"/>
        <sz val="12"/>
        <rFont val="TH SarabunPSK"/>
        <family val="2"/>
      </rPr>
      <t xml:space="preserve"> (หมายเหตุ 2)</t>
    </r>
  </si>
  <si>
    <t>เงินเดือนค่าตอบแทนฯนายก/รองนายก</t>
  </si>
  <si>
    <t>บัญชีเงินรายรับ (หมายเหตุ 1)</t>
  </si>
  <si>
    <t>เงินรับฝาก  (หมายเหตุ  2)</t>
  </si>
  <si>
    <t>เงินฝากธนาคาร ธกส. (ออมทรัพย์) เลขที่ 890-2-44353-8</t>
  </si>
  <si>
    <t>เงินฝากธนาคาร ธกส. (ออมทรัพย์) เลขที่ 890-2-46698-0</t>
  </si>
  <si>
    <t>เงินฝากธนาคาร กรุงไทย (ออมทรัพย์) เลขที่ 814-0-00415-4</t>
  </si>
  <si>
    <t>(ลงชื่อ)....................................................</t>
  </si>
  <si>
    <t>(ลงชื่อ).....................................................</t>
  </si>
  <si>
    <t>(ลงชื่อ)..................................................</t>
  </si>
  <si>
    <t>(ลงชื่อ).................................................</t>
  </si>
  <si>
    <t>(ลงชื่อ)...................................................</t>
  </si>
  <si>
    <t>ปฐมวัย=89104/ประถม=146589</t>
  </si>
  <si>
    <t>ปฐมวัย=241800/ประถม=306000</t>
  </si>
  <si>
    <t xml:space="preserve">     และภารกิจถ่ายโอนเลือกทำ</t>
  </si>
  <si>
    <t>เงินฝากเงินทุนส่งเสริมกิจการเทศบาล</t>
  </si>
  <si>
    <t>10) ภาษีจัดสรรอื่น ฯ</t>
  </si>
  <si>
    <t>1) เงินอุดหนุน - ยาเสพติด</t>
  </si>
  <si>
    <t>เงินอุดหนุนส่วนราชการ</t>
  </si>
  <si>
    <t>เงินสมทบกองทุนบำเหน็จบำนาญฯ (กบท.)</t>
  </si>
  <si>
    <t>15) เงินอุดหนุนทั่วไป สำหรับดำเนินการตามอำนาจหน้าที่</t>
  </si>
  <si>
    <t>ลูกหนีภาษีโรงเรือนและที่ดิน</t>
  </si>
  <si>
    <t>รายได้ที่รัฐบาลอุดหนุนให้โดยระบุวัตถุประสงค์/เฉพาะกิจ</t>
  </si>
  <si>
    <t>(1) เงินอุดหนุนเฉพาะกิจจากกรมส่งเสริมการปกครองท้องถิ่น</t>
  </si>
  <si>
    <t>ลูกหนี้รายได้อื่น ๆ - ค่าน้ำประปา</t>
  </si>
  <si>
    <t>วัสดุยานพาหนะและขนส่ง</t>
  </si>
  <si>
    <t>งบกลาง (เบี้ยยังชีพผู้สูงอายุ)</t>
  </si>
  <si>
    <t>เงินฝากธนาคาร กรุงไทย (ออมทรัพย์) เลขที่ 814-0-35095-8</t>
  </si>
  <si>
    <t>เงินวิทยฐานะ</t>
  </si>
  <si>
    <t>44100001</t>
  </si>
  <si>
    <t>เบี้ยยังชีพผู้สูงอายุ</t>
  </si>
  <si>
    <t>1. โครงการก่อสร้างถนนแอสฟัลท์คอนกรีตผสมยางพารา สายศาลาแดง หมู่ที่ 8</t>
  </si>
  <si>
    <t>2. โครงการก่อสร้างระบบประปาหมู่บ้านแบบบาดาล ขนาดความจุ 30 ลบ.ม. หมู่ที่ 7</t>
  </si>
  <si>
    <t>3. โครงการพัฒนาลุ่มแม่น้ำตาปีและก่อสร้างอาคารอเนกประสงค์และปรับปรุงภูมิทัศน์</t>
  </si>
  <si>
    <t>5. โครงการก่อสร้างถังเก็บน้ำประปาบาดาล ขนาด 12  ลบ.ม. บ้านโคกแม่คาด 1  หมู่ที่ 8</t>
  </si>
  <si>
    <t>6. โครงการก่อสร้างระบบประปาหมู่บ้าน แบบหอถังสูง ความจุ 30 ลบ.ม. รูปทรงถ้วยแชมเปญ</t>
  </si>
  <si>
    <t xml:space="preserve">4. โครงการก่อสร้างระบบประปาหมู่บ้าน แบบบาดาลความจุ 30 ลบ.ม  หมู่ที่ 8 </t>
  </si>
  <si>
    <t>รายได้จากรัฐบาลค้างรับ</t>
  </si>
  <si>
    <t>ปีงบประมาณ 2562</t>
  </si>
  <si>
    <t xml:space="preserve">รายจ่ายค้างจ่าย </t>
  </si>
  <si>
    <t>วัสดุอาหารเสริม (นม)</t>
  </si>
  <si>
    <t>ตามงบ</t>
  </si>
  <si>
    <t>ค้างจ่ายปี 61</t>
  </si>
  <si>
    <t>ค่าปรับหน้าฎีกา</t>
  </si>
  <si>
    <t>19030000</t>
  </si>
  <si>
    <t>งบกลาง (เงินสมทบกองทุนเงินทดแทน)</t>
  </si>
  <si>
    <t>งวดที่ 2</t>
  </si>
  <si>
    <t>ปี 2562</t>
  </si>
  <si>
    <t>13) เงินอุดหนุน - โครงการสัตว์ปลอดโรคคนปลอดภัยฯ (เพื่อขับเคลื่อน)</t>
  </si>
  <si>
    <t>14) เงินอุดหนุน - โครงการสัตว์ปลอดโรคคนปลอดภัยฯ (สำรวจข้อมูล)</t>
  </si>
  <si>
    <t>6) เงินอุดหนุน - ค่าจัดการเรียนการสอน (ตค.-ธค.61)</t>
  </si>
  <si>
    <t>เงินสมทบกองทุนเงินทดแทน</t>
  </si>
  <si>
    <t>ครุภัณฑ์การศึกษา</t>
  </si>
  <si>
    <t>รวมเงินอุดหนุนเฉพาะกิจ (รายจ่ายค้างจ่าย ปี 61)</t>
  </si>
  <si>
    <t>1. โครงการพัฒนาคุณภาพการศึกษาด้วยเทคโนโลยีสารสนเทศ DLTV ประจำปีงบประมาณ 2562</t>
  </si>
  <si>
    <t>เงินเกินบัญชี</t>
  </si>
  <si>
    <t>21061000</t>
  </si>
  <si>
    <t>ลูกหนี้เงินยืมเงิน  - นอกงบประมาณ (เงินรับฝาก)</t>
  </si>
  <si>
    <t>หน้าที่ 5</t>
  </si>
  <si>
    <t>12) เงินอุดหนุน - โครงการพระราชดำริด้านสาธารณสุข (เพิ่มเติม) ครั้งที่ 2</t>
  </si>
  <si>
    <t xml:space="preserve">2) โครงการก่อสร้างถนนลาดยางแอสฟัลท์ติกคอนกรีต รหัสทางหลวงท้องถิ่น สายโคกไม้แดง ม.8 </t>
  </si>
  <si>
    <t xml:space="preserve">3) โครงการก่อสร้างถนนลาดยางแอสฟัลท์ติกคอนกรีต รหัสทางหลวงท้องถิ่น สายแหลมยูงฯ ม.7 </t>
  </si>
  <si>
    <t xml:space="preserve">4) โครงการก่อสร้างถนนลาดยางแอสฟัลท์ติกคอนกรีต รหัสทางหลวงท้องถิ่น สายไสเทียม ม.8 </t>
  </si>
  <si>
    <t xml:space="preserve">5) โครงการก่อสร้างถนนลาดยางแอสฟัลท์ติกคอนกรีตรหัสทางหลวงท้องถิ่น.สายทุ่งกรวดฯ ม.7 ,8 </t>
  </si>
  <si>
    <t xml:space="preserve">6) โครงการก่อสร้างถนนลาดยางแอสฟัลท์ติกคอนกรีต รหัสทางหลวงท้องถิ่น สายบ้านคอกช้าง ม.8 </t>
  </si>
  <si>
    <t xml:space="preserve">7) โครงการก่อสร้างถนนลาดยางแอสฟัลท์ติกคอนกรีต รหัสทางหลวงท้องถิ่น สายปากน้ำฯ ม.7 </t>
  </si>
  <si>
    <t xml:space="preserve">8) โครงการก่อสร้างถนนลาดยางแอสฟัลท์ติกคอนกรีต รหัสทางหลวงท้องถิ่น สายนายลอยฯ ม.7 </t>
  </si>
  <si>
    <t>หมวดเงินอุดหนุนเฉพาะกิจ ประจำปีงบประมาณ 2562</t>
  </si>
  <si>
    <t xml:space="preserve">9) โครงการก่อสร้างถนนลาดยางแอสฟัลท์ติกคอนกรีต รหัสทางหลวงท้องถิ่น สายข้างโรงเรียนฯ ม.7 </t>
  </si>
  <si>
    <t xml:space="preserve">11) โครงการก่อสร้างถนนลาดยางแอสฟัลท์ติกคอนกรีต รหัสทางหลวงท้องถิ่น สายโรงถ่านฯ ม.8 </t>
  </si>
  <si>
    <t xml:space="preserve">10) โครงการก่อสร้างถนนลาดยางแอสฟัลท์ติกคอนกรีต รหัสทางหลวงท้องถิ่น สายบ่อขยะฯ ม.8 </t>
  </si>
  <si>
    <t>ที่ดินและสิ่งก่อสร้าง</t>
  </si>
  <si>
    <t>54200001</t>
  </si>
  <si>
    <t xml:space="preserve">เงินอุดหนุนเฉพาะกิจ-ค่าครุภัณฑ์ (โครงการจัอซื้ออุปกรณ์การศึกษา (DLTV)  </t>
  </si>
  <si>
    <t>เงินอุดหนุนเฉพาะกิจ-ค่าที่ดินและสิ่งก่อสร้าง (โครงการก่อสร้างถนนลาดยางแอสฟัลท์ฯ)</t>
  </si>
  <si>
    <t>15) เงินอุดหนุน - กิจกรรมพัฒนาคุณภาพผู้เรียน (ศพด.)</t>
  </si>
  <si>
    <t>16) เงินอุดหนุน - เครื่องแบบนักเรียน (ศพด.)</t>
  </si>
  <si>
    <t>17) เงินอุดหนุน - หนังสือเรียน (ศพด.)</t>
  </si>
  <si>
    <t>18) เงินอุดหนุน - อุปกรณ์การเรียน (ศพด.)</t>
  </si>
  <si>
    <t>ครุภัณฑ์อื่น ๆ</t>
  </si>
  <si>
    <t>ลาแอส</t>
  </si>
  <si>
    <t>มือ</t>
  </si>
  <si>
    <t xml:space="preserve">ค่าสาธารณูปโภค </t>
  </si>
  <si>
    <t>ณ วันที่ 31  กรกฎาคม 2562</t>
  </si>
  <si>
    <t>4) เงินอุดหนุน - ผู้ป่วยเอดส์  (กค.-สค.62)</t>
  </si>
  <si>
    <t>9) เงินอุดหนุน - ศูนย์พัฒนาเด็กเล็ก (ค่าอาหารเสริมนม ปฐมวัย กค.-กย.62)</t>
  </si>
  <si>
    <t>10) เงินอุดหนุน - ศพด. (ค่าอาหารเสริมนม ปฐมศึกษา ไตรมาส 4 กค.-กย.62)</t>
  </si>
  <si>
    <t>7) เงินอุดหนุน-ศูนย์พัฒนาเด็กเล็ก (ค่าอาหารกลางวัน ปฐมวัย กค. - กย.62)</t>
  </si>
  <si>
    <t>8) เงินอุดหนุน-ศพด. (ค่าอาหารกลางวัน ปฐมศึกษา ไตรมาส 4 กค. - กย.62)</t>
  </si>
  <si>
    <t>3) เงินอุดหนุน - เบี้ยยังชีพคนพิการ (กค. - กย.62)</t>
  </si>
  <si>
    <t>2) เงินอุดหนุน -  เบี้ยยังชีพผู้สูงอายุ  (กค.-สค.62)</t>
  </si>
  <si>
    <t>5) เงินอุดหนุน - ศพด. (เงินเดือน/ค่าตอบแทน ไตรมาส 4 กค. - กย.62)</t>
  </si>
  <si>
    <t>....</t>
  </si>
  <si>
    <t>ประจำเดือนกรกฎาคม 2562</t>
  </si>
  <si>
    <t>ปีงบประมาณ  2562  ประจำเดือนกรกฎาคม พ.ศ. 2562</t>
  </si>
  <si>
    <t xml:space="preserve">  ณ วันที่ 31  กรกฎาคม 2562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</si>
</sst>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_-;\-* #,##0.00_-;_-* &quot;-&quot;_-;_-@_-"/>
    <numFmt numFmtId="189" formatCode="_(* #,##0_);_(* \(#,##0\);_(* &quot;-&quot;??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?_-;_-@_-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ngsana New"/>
      <family val="1"/>
    </font>
    <font>
      <b/>
      <sz val="10"/>
      <name val="Angsana New"/>
      <family val="1"/>
    </font>
    <font>
      <sz val="8"/>
      <name val="Angsana New"/>
      <family val="1"/>
    </font>
    <font>
      <sz val="9"/>
      <name val="Angsana New"/>
      <family val="1"/>
    </font>
    <font>
      <b/>
      <sz val="9"/>
      <name val="Angsana New"/>
      <family val="1"/>
    </font>
    <font>
      <b/>
      <sz val="14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1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7.5"/>
      <name val="Angsana New"/>
      <family val="1"/>
    </font>
    <font>
      <u val="single"/>
      <sz val="16"/>
      <name val="TH SarabunPSK"/>
      <family val="2"/>
    </font>
    <font>
      <sz val="11"/>
      <name val="Angsana New"/>
      <family val="1"/>
    </font>
    <font>
      <b/>
      <sz val="11"/>
      <name val="TH SarabunPSK"/>
      <family val="2"/>
    </font>
    <font>
      <b/>
      <u val="single"/>
      <sz val="12"/>
      <name val="TH SarabunPSK"/>
      <family val="2"/>
    </font>
    <font>
      <b/>
      <sz val="12"/>
      <name val="TH SarabunPSK"/>
      <family val="2"/>
    </font>
    <font>
      <sz val="15.5"/>
      <name val="TH SarabunPSK"/>
      <family val="2"/>
    </font>
    <font>
      <u val="single"/>
      <sz val="12"/>
      <name val="TH SarabunPSK"/>
      <family val="2"/>
    </font>
    <font>
      <sz val="14.5"/>
      <name val="TH SarabunPSK"/>
      <family val="2"/>
    </font>
    <font>
      <b/>
      <sz val="14.5"/>
      <name val="TH SarabunPSK"/>
      <family val="2"/>
    </font>
    <font>
      <sz val="12.5"/>
      <name val="TH SarabunPSK"/>
      <family val="2"/>
    </font>
    <font>
      <sz val="8.5"/>
      <name val="Angsana New"/>
      <family val="1"/>
    </font>
    <font>
      <sz val="14"/>
      <name val="Angsana New"/>
      <family val="1"/>
    </font>
    <font>
      <b/>
      <sz val="14.6"/>
      <name val="TH SarabunPSK"/>
      <family val="2"/>
    </font>
    <font>
      <sz val="9.5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sz val="11"/>
      <name val="Tahoma"/>
      <family val="2"/>
    </font>
    <font>
      <sz val="10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H SarabunPSK"/>
      <family val="2"/>
    </font>
    <font>
      <sz val="12"/>
      <color rgb="FFFF0000"/>
      <name val="TH SarabunPSK"/>
      <family val="2"/>
    </font>
    <font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/>
      <right style="thin"/>
      <top style="hair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double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3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3" fontId="2" fillId="0" borderId="0" xfId="33" applyFont="1" applyFill="1" applyAlignment="1">
      <alignment/>
    </xf>
    <xf numFmtId="4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3" fontId="2" fillId="0" borderId="0" xfId="33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Alignment="1">
      <alignment/>
    </xf>
    <xf numFmtId="187" fontId="17" fillId="33" borderId="10" xfId="33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187" fontId="17" fillId="33" borderId="12" xfId="33" applyNumberFormat="1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187" fontId="17" fillId="33" borderId="13" xfId="33" applyNumberFormat="1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187" fontId="18" fillId="0" borderId="11" xfId="33" applyNumberFormat="1" applyFont="1" applyBorder="1" applyAlignment="1">
      <alignment/>
    </xf>
    <xf numFmtId="187" fontId="18" fillId="0" borderId="12" xfId="33" applyNumberFormat="1" applyFont="1" applyBorder="1" applyAlignment="1">
      <alignment/>
    </xf>
    <xf numFmtId="187" fontId="18" fillId="0" borderId="12" xfId="33" applyNumberFormat="1" applyFont="1" applyBorder="1" applyAlignment="1">
      <alignment horizontal="right"/>
    </xf>
    <xf numFmtId="187" fontId="14" fillId="0" borderId="0" xfId="0" applyNumberFormat="1" applyFont="1" applyAlignment="1">
      <alignment/>
    </xf>
    <xf numFmtId="43" fontId="19" fillId="34" borderId="10" xfId="33" applyFont="1" applyFill="1" applyBorder="1" applyAlignment="1">
      <alignment/>
    </xf>
    <xf numFmtId="43" fontId="14" fillId="0" borderId="0" xfId="0" applyNumberFormat="1" applyFont="1" applyAlignment="1">
      <alignment/>
    </xf>
    <xf numFmtId="187" fontId="18" fillId="0" borderId="0" xfId="33" applyNumberFormat="1" applyFont="1" applyAlignment="1">
      <alignment/>
    </xf>
    <xf numFmtId="0" fontId="18" fillId="0" borderId="0" xfId="0" applyFont="1" applyAlignment="1">
      <alignment/>
    </xf>
    <xf numFmtId="187" fontId="17" fillId="0" borderId="10" xfId="33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187" fontId="17" fillId="0" borderId="0" xfId="33" applyNumberFormat="1" applyFont="1" applyBorder="1" applyAlignment="1">
      <alignment/>
    </xf>
    <xf numFmtId="43" fontId="19" fillId="0" borderId="0" xfId="33" applyFont="1" applyAlignment="1">
      <alignment/>
    </xf>
    <xf numFmtId="0" fontId="18" fillId="0" borderId="0" xfId="0" applyFont="1" applyAlignment="1">
      <alignment/>
    </xf>
    <xf numFmtId="187" fontId="18" fillId="0" borderId="12" xfId="33" applyNumberFormat="1" applyFont="1" applyBorder="1" applyAlignment="1">
      <alignment/>
    </xf>
    <xf numFmtId="187" fontId="18" fillId="0" borderId="12" xfId="33" applyNumberFormat="1" applyFont="1" applyFill="1" applyBorder="1" applyAlignment="1">
      <alignment/>
    </xf>
    <xf numFmtId="187" fontId="18" fillId="0" borderId="14" xfId="33" applyNumberFormat="1" applyFont="1" applyBorder="1" applyAlignment="1">
      <alignment/>
    </xf>
    <xf numFmtId="49" fontId="20" fillId="33" borderId="11" xfId="0" applyNumberFormat="1" applyFont="1" applyFill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7" fillId="33" borderId="13" xfId="0" applyFont="1" applyFill="1" applyBorder="1" applyAlignment="1">
      <alignment horizontal="center"/>
    </xf>
    <xf numFmtId="187" fontId="18" fillId="0" borderId="11" xfId="33" applyNumberFormat="1" applyFont="1" applyBorder="1" applyAlignment="1">
      <alignment horizontal="center"/>
    </xf>
    <xf numFmtId="187" fontId="18" fillId="0" borderId="12" xfId="33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87" fontId="18" fillId="0" borderId="0" xfId="33" applyNumberFormat="1" applyFont="1" applyAlignment="1">
      <alignment horizontal="center"/>
    </xf>
    <xf numFmtId="187" fontId="18" fillId="0" borderId="14" xfId="33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9" fillId="34" borderId="10" xfId="33" applyFont="1" applyFill="1" applyBorder="1" applyAlignment="1">
      <alignment horizontal="center"/>
    </xf>
    <xf numFmtId="187" fontId="17" fillId="0" borderId="10" xfId="33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87" fontId="17" fillId="0" borderId="14" xfId="33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/>
    </xf>
    <xf numFmtId="0" fontId="12" fillId="0" borderId="16" xfId="0" applyFont="1" applyFill="1" applyBorder="1" applyAlignment="1">
      <alignment horizontal="center" vertical="top"/>
    </xf>
    <xf numFmtId="43" fontId="12" fillId="0" borderId="10" xfId="33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43" fontId="12" fillId="0" borderId="12" xfId="33" applyFont="1" applyFill="1" applyBorder="1" applyAlignment="1">
      <alignment vertical="top"/>
    </xf>
    <xf numFmtId="0" fontId="15" fillId="0" borderId="12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vertical="top"/>
    </xf>
    <xf numFmtId="43" fontId="9" fillId="0" borderId="12" xfId="33" applyFont="1" applyFill="1" applyBorder="1" applyAlignment="1">
      <alignment vertical="top"/>
    </xf>
    <xf numFmtId="4" fontId="9" fillId="0" borderId="12" xfId="33" applyNumberFormat="1" applyFont="1" applyFill="1" applyBorder="1" applyAlignment="1">
      <alignment vertical="top"/>
    </xf>
    <xf numFmtId="49" fontId="11" fillId="0" borderId="12" xfId="0" applyNumberFormat="1" applyFont="1" applyFill="1" applyBorder="1" applyAlignment="1">
      <alignment horizontal="center" vertical="top"/>
    </xf>
    <xf numFmtId="43" fontId="9" fillId="0" borderId="17" xfId="33" applyFont="1" applyFill="1" applyBorder="1" applyAlignment="1">
      <alignment vertical="top"/>
    </xf>
    <xf numFmtId="0" fontId="12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43" fontId="12" fillId="0" borderId="10" xfId="33" applyFont="1" applyFill="1" applyBorder="1" applyAlignment="1">
      <alignment vertical="top"/>
    </xf>
    <xf numFmtId="4" fontId="12" fillId="0" borderId="10" xfId="33" applyNumberFormat="1" applyFont="1" applyFill="1" applyBorder="1" applyAlignment="1">
      <alignment vertical="top"/>
    </xf>
    <xf numFmtId="43" fontId="12" fillId="0" borderId="17" xfId="33" applyFont="1" applyFill="1" applyBorder="1" applyAlignment="1">
      <alignment vertical="top"/>
    </xf>
    <xf numFmtId="4" fontId="9" fillId="0" borderId="12" xfId="33" applyNumberFormat="1" applyFont="1" applyFill="1" applyBorder="1" applyAlignment="1">
      <alignment horizontal="right" vertical="top"/>
    </xf>
    <xf numFmtId="43" fontId="9" fillId="0" borderId="12" xfId="33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/>
    </xf>
    <xf numFmtId="43" fontId="12" fillId="0" borderId="10" xfId="33" applyFont="1" applyFill="1" applyBorder="1" applyAlignment="1">
      <alignment horizontal="right" vertical="top"/>
    </xf>
    <xf numFmtId="43" fontId="9" fillId="0" borderId="0" xfId="33" applyFont="1" applyFill="1" applyBorder="1" applyAlignment="1">
      <alignment vertical="top"/>
    </xf>
    <xf numFmtId="4" fontId="9" fillId="0" borderId="12" xfId="0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>
      <alignment vertical="top"/>
    </xf>
    <xf numFmtId="43" fontId="12" fillId="0" borderId="18" xfId="33" applyFont="1" applyFill="1" applyBorder="1" applyAlignment="1">
      <alignment vertical="top"/>
    </xf>
    <xf numFmtId="0" fontId="9" fillId="0" borderId="12" xfId="0" applyFont="1" applyFill="1" applyBorder="1" applyAlignment="1">
      <alignment horizontal="left" vertical="top"/>
    </xf>
    <xf numFmtId="43" fontId="9" fillId="0" borderId="15" xfId="33" applyFont="1" applyFill="1" applyBorder="1" applyAlignment="1">
      <alignment vertical="top"/>
    </xf>
    <xf numFmtId="0" fontId="12" fillId="0" borderId="13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43" fontId="12" fillId="0" borderId="0" xfId="33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/>
    </xf>
    <xf numFmtId="43" fontId="12" fillId="0" borderId="15" xfId="33" applyFont="1" applyFill="1" applyBorder="1" applyAlignment="1">
      <alignment vertical="top"/>
    </xf>
    <xf numFmtId="43" fontId="9" fillId="0" borderId="15" xfId="33" applyFont="1" applyFill="1" applyBorder="1" applyAlignment="1">
      <alignment horizontal="right" vertical="top"/>
    </xf>
    <xf numFmtId="43" fontId="9" fillId="0" borderId="13" xfId="33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11" fillId="0" borderId="20" xfId="0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/>
    </xf>
    <xf numFmtId="43" fontId="9" fillId="0" borderId="21" xfId="33" applyFont="1" applyFill="1" applyBorder="1" applyAlignment="1">
      <alignment vertical="top"/>
    </xf>
    <xf numFmtId="187" fontId="17" fillId="0" borderId="10" xfId="33" applyNumberFormat="1" applyFont="1" applyBorder="1" applyAlignment="1">
      <alignment/>
    </xf>
    <xf numFmtId="40" fontId="17" fillId="0" borderId="1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187" fontId="18" fillId="0" borderId="12" xfId="33" applyNumberFormat="1" applyFont="1" applyBorder="1" applyAlignment="1">
      <alignment horizontal="center" vertical="top"/>
    </xf>
    <xf numFmtId="187" fontId="18" fillId="0" borderId="11" xfId="33" applyNumberFormat="1" applyFont="1" applyBorder="1" applyAlignment="1">
      <alignment horizontal="center" vertical="top"/>
    </xf>
    <xf numFmtId="187" fontId="17" fillId="0" borderId="22" xfId="33" applyNumberFormat="1" applyFont="1" applyBorder="1" applyAlignment="1">
      <alignment horizontal="center" vertical="top"/>
    </xf>
    <xf numFmtId="187" fontId="17" fillId="0" borderId="14" xfId="33" applyNumberFormat="1" applyFont="1" applyBorder="1" applyAlignment="1">
      <alignment horizontal="center" vertical="top"/>
    </xf>
    <xf numFmtId="187" fontId="17" fillId="0" borderId="10" xfId="33" applyNumberFormat="1" applyFont="1" applyBorder="1" applyAlignment="1">
      <alignment/>
    </xf>
    <xf numFmtId="187" fontId="17" fillId="0" borderId="0" xfId="33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3" fontId="2" fillId="0" borderId="25" xfId="33" applyFont="1" applyFill="1" applyBorder="1" applyAlignment="1">
      <alignment/>
    </xf>
    <xf numFmtId="43" fontId="5" fillId="0" borderId="25" xfId="33" applyFont="1" applyFill="1" applyBorder="1" applyAlignment="1">
      <alignment/>
    </xf>
    <xf numFmtId="43" fontId="2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3" fontId="2" fillId="0" borderId="26" xfId="33" applyFont="1" applyFill="1" applyBorder="1" applyAlignment="1">
      <alignment/>
    </xf>
    <xf numFmtId="43" fontId="5" fillId="0" borderId="26" xfId="33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3" fontId="2" fillId="0" borderId="25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43" fontId="2" fillId="0" borderId="3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43" fontId="5" fillId="0" borderId="26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43" fontId="5" fillId="0" borderId="31" xfId="0" applyNumberFormat="1" applyFont="1" applyFill="1" applyBorder="1" applyAlignment="1">
      <alignment/>
    </xf>
    <xf numFmtId="43" fontId="2" fillId="0" borderId="20" xfId="33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43" fontId="6" fillId="0" borderId="20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3" fontId="2" fillId="0" borderId="34" xfId="33" applyFont="1" applyFill="1" applyBorder="1" applyAlignment="1">
      <alignment/>
    </xf>
    <xf numFmtId="43" fontId="6" fillId="0" borderId="34" xfId="33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3" fontId="6" fillId="0" borderId="26" xfId="33" applyFont="1" applyFill="1" applyBorder="1" applyAlignment="1">
      <alignment/>
    </xf>
    <xf numFmtId="0" fontId="2" fillId="0" borderId="30" xfId="0" applyFont="1" applyFill="1" applyBorder="1" applyAlignment="1">
      <alignment/>
    </xf>
    <xf numFmtId="43" fontId="2" fillId="0" borderId="31" xfId="33" applyFont="1" applyFill="1" applyBorder="1" applyAlignment="1">
      <alignment/>
    </xf>
    <xf numFmtId="43" fontId="5" fillId="0" borderId="31" xfId="33" applyFont="1" applyFill="1" applyBorder="1" applyAlignment="1">
      <alignment/>
    </xf>
    <xf numFmtId="43" fontId="6" fillId="0" borderId="31" xfId="33" applyFont="1" applyFill="1" applyBorder="1" applyAlignment="1">
      <alignment/>
    </xf>
    <xf numFmtId="0" fontId="2" fillId="0" borderId="24" xfId="0" applyFont="1" applyFill="1" applyBorder="1" applyAlignment="1">
      <alignment/>
    </xf>
    <xf numFmtId="43" fontId="6" fillId="0" borderId="25" xfId="33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49" fontId="2" fillId="0" borderId="35" xfId="0" applyNumberFormat="1" applyFont="1" applyFill="1" applyBorder="1" applyAlignment="1">
      <alignment horizontal="center"/>
    </xf>
    <xf numFmtId="43" fontId="6" fillId="0" borderId="26" xfId="0" applyNumberFormat="1" applyFont="1" applyFill="1" applyBorder="1" applyAlignment="1">
      <alignment/>
    </xf>
    <xf numFmtId="43" fontId="6" fillId="0" borderId="20" xfId="33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9" fillId="0" borderId="0" xfId="0" applyFont="1" applyAlignment="1">
      <alignment vertical="top"/>
    </xf>
    <xf numFmtId="43" fontId="9" fillId="0" borderId="0" xfId="33" applyFont="1" applyAlignment="1">
      <alignment vertical="top"/>
    </xf>
    <xf numFmtId="0" fontId="12" fillId="33" borderId="10" xfId="0" applyFont="1" applyFill="1" applyBorder="1" applyAlignment="1">
      <alignment horizontal="center" vertical="top"/>
    </xf>
    <xf numFmtId="0" fontId="9" fillId="0" borderId="32" xfId="0" applyFont="1" applyBorder="1" applyAlignment="1">
      <alignment vertical="top"/>
    </xf>
    <xf numFmtId="49" fontId="9" fillId="0" borderId="34" xfId="0" applyNumberFormat="1" applyFont="1" applyBorder="1" applyAlignment="1">
      <alignment horizontal="center" vertical="top"/>
    </xf>
    <xf numFmtId="188" fontId="9" fillId="0" borderId="26" xfId="33" applyNumberFormat="1" applyFont="1" applyFill="1" applyBorder="1" applyAlignment="1">
      <alignment horizontal="center" vertical="top"/>
    </xf>
    <xf numFmtId="41" fontId="9" fillId="0" borderId="34" xfId="33" applyNumberFormat="1" applyFont="1" applyFill="1" applyBorder="1" applyAlignment="1">
      <alignment horizontal="center" vertical="top"/>
    </xf>
    <xf numFmtId="43" fontId="9" fillId="0" borderId="0" xfId="0" applyNumberFormat="1" applyFont="1" applyAlignment="1">
      <alignment vertical="top"/>
    </xf>
    <xf numFmtId="0" fontId="9" fillId="0" borderId="26" xfId="0" applyFont="1" applyBorder="1" applyAlignment="1">
      <alignment vertical="top"/>
    </xf>
    <xf numFmtId="49" fontId="9" fillId="0" borderId="26" xfId="0" applyNumberFormat="1" applyFont="1" applyBorder="1" applyAlignment="1">
      <alignment horizontal="center" vertical="top"/>
    </xf>
    <xf numFmtId="41" fontId="9" fillId="0" borderId="26" xfId="33" applyNumberFormat="1" applyFont="1" applyFill="1" applyBorder="1" applyAlignment="1">
      <alignment vertical="top"/>
    </xf>
    <xf numFmtId="188" fontId="9" fillId="0" borderId="0" xfId="0" applyNumberFormat="1" applyFont="1" applyAlignment="1">
      <alignment vertical="top"/>
    </xf>
    <xf numFmtId="43" fontId="9" fillId="0" borderId="26" xfId="33" applyFont="1" applyFill="1" applyBorder="1" applyAlignment="1">
      <alignment vertical="top"/>
    </xf>
    <xf numFmtId="187" fontId="9" fillId="0" borderId="0" xfId="0" applyNumberFormat="1" applyFont="1" applyAlignment="1">
      <alignment vertical="top"/>
    </xf>
    <xf numFmtId="0" fontId="12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center" vertical="top"/>
    </xf>
    <xf numFmtId="188" fontId="12" fillId="0" borderId="0" xfId="33" applyNumberFormat="1" applyFont="1" applyBorder="1" applyAlignment="1">
      <alignment vertical="top"/>
    </xf>
    <xf numFmtId="0" fontId="18" fillId="0" borderId="12" xfId="0" applyFont="1" applyBorder="1" applyAlignment="1">
      <alignment/>
    </xf>
    <xf numFmtId="0" fontId="18" fillId="0" borderId="0" xfId="0" applyFont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188" fontId="12" fillId="0" borderId="14" xfId="33" applyNumberFormat="1" applyFont="1" applyBorder="1" applyAlignment="1">
      <alignment vertical="top"/>
    </xf>
    <xf numFmtId="4" fontId="9" fillId="0" borderId="19" xfId="33" applyNumberFormat="1" applyFont="1" applyFill="1" applyBorder="1" applyAlignment="1">
      <alignment horizontal="right" vertical="top"/>
    </xf>
    <xf numFmtId="187" fontId="17" fillId="0" borderId="12" xfId="33" applyNumberFormat="1" applyFont="1" applyBorder="1" applyAlignment="1">
      <alignment horizontal="center"/>
    </xf>
    <xf numFmtId="187" fontId="18" fillId="0" borderId="36" xfId="33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2" fillId="0" borderId="0" xfId="33" applyFont="1" applyFill="1" applyBorder="1" applyAlignment="1">
      <alignment/>
    </xf>
    <xf numFmtId="0" fontId="16" fillId="0" borderId="0" xfId="0" applyFont="1" applyFill="1" applyAlignment="1">
      <alignment vertical="top"/>
    </xf>
    <xf numFmtId="43" fontId="19" fillId="35" borderId="10" xfId="33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187" fontId="19" fillId="34" borderId="10" xfId="0" applyNumberFormat="1" applyFont="1" applyFill="1" applyBorder="1" applyAlignment="1">
      <alignment/>
    </xf>
    <xf numFmtId="43" fontId="19" fillId="0" borderId="0" xfId="33" applyFont="1" applyAlignment="1">
      <alignment horizontal="center"/>
    </xf>
    <xf numFmtId="43" fontId="19" fillId="34" borderId="10" xfId="33" applyFont="1" applyFill="1" applyBorder="1" applyAlignment="1">
      <alignment horizontal="center" vertical="center"/>
    </xf>
    <xf numFmtId="43" fontId="19" fillId="0" borderId="0" xfId="0" applyNumberFormat="1" applyFont="1" applyAlignment="1">
      <alignment horizontal="center"/>
    </xf>
    <xf numFmtId="43" fontId="19" fillId="0" borderId="0" xfId="33" applyFont="1" applyAlignment="1">
      <alignment/>
    </xf>
    <xf numFmtId="43" fontId="16" fillId="0" borderId="0" xfId="0" applyNumberFormat="1" applyFont="1" applyFill="1" applyAlignment="1">
      <alignment vertical="top"/>
    </xf>
    <xf numFmtId="43" fontId="18" fillId="0" borderId="0" xfId="33" applyFont="1" applyAlignment="1">
      <alignment/>
    </xf>
    <xf numFmtId="4" fontId="9" fillId="0" borderId="13" xfId="33" applyNumberFormat="1" applyFont="1" applyFill="1" applyBorder="1" applyAlignment="1">
      <alignment vertical="top"/>
    </xf>
    <xf numFmtId="0" fontId="12" fillId="0" borderId="35" xfId="0" applyFont="1" applyFill="1" applyBorder="1" applyAlignment="1">
      <alignment horizontal="center" vertical="top"/>
    </xf>
    <xf numFmtId="43" fontId="12" fillId="0" borderId="0" xfId="33" applyFont="1" applyFill="1" applyBorder="1" applyAlignment="1">
      <alignment horizontal="center" vertical="top"/>
    </xf>
    <xf numFmtId="43" fontId="9" fillId="0" borderId="0" xfId="33" applyFont="1" applyFill="1" applyBorder="1" applyAlignment="1">
      <alignment horizontal="center" vertical="top"/>
    </xf>
    <xf numFmtId="43" fontId="12" fillId="0" borderId="16" xfId="33" applyFont="1" applyFill="1" applyBorder="1" applyAlignment="1">
      <alignment horizontal="center" vertical="top"/>
    </xf>
    <xf numFmtId="43" fontId="9" fillId="0" borderId="11" xfId="33" applyFont="1" applyFill="1" applyBorder="1" applyAlignment="1">
      <alignment horizontal="center" vertical="top"/>
    </xf>
    <xf numFmtId="43" fontId="9" fillId="0" borderId="12" xfId="33" applyFont="1" applyFill="1" applyBorder="1" applyAlignment="1">
      <alignment horizontal="center" vertical="top"/>
    </xf>
    <xf numFmtId="4" fontId="9" fillId="0" borderId="20" xfId="33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3" fillId="0" borderId="37" xfId="0" applyFont="1" applyFill="1" applyBorder="1" applyAlignment="1">
      <alignment/>
    </xf>
    <xf numFmtId="41" fontId="9" fillId="0" borderId="26" xfId="33" applyNumberFormat="1" applyFont="1" applyFill="1" applyBorder="1" applyAlignment="1">
      <alignment horizontal="center" vertical="top"/>
    </xf>
    <xf numFmtId="187" fontId="24" fillId="33" borderId="13" xfId="33" applyNumberFormat="1" applyFont="1" applyFill="1" applyBorder="1" applyAlignment="1">
      <alignment horizontal="center"/>
    </xf>
    <xf numFmtId="187" fontId="17" fillId="0" borderId="13" xfId="33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14" fillId="0" borderId="12" xfId="0" applyFont="1" applyBorder="1" applyAlignment="1">
      <alignment vertical="top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20" xfId="0" applyFont="1" applyBorder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5" fillId="0" borderId="12" xfId="0" applyFont="1" applyBorder="1" applyAlignment="1">
      <alignment vertical="top"/>
    </xf>
    <xf numFmtId="0" fontId="14" fillId="0" borderId="0" xfId="0" applyFont="1" applyAlignment="1">
      <alignment vertical="center"/>
    </xf>
    <xf numFmtId="49" fontId="20" fillId="33" borderId="11" xfId="0" applyNumberFormat="1" applyFont="1" applyFill="1" applyBorder="1" applyAlignment="1">
      <alignment horizontal="center" vertical="center"/>
    </xf>
    <xf numFmtId="49" fontId="20" fillId="33" borderId="12" xfId="0" applyNumberFormat="1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top"/>
    </xf>
    <xf numFmtId="187" fontId="18" fillId="0" borderId="0" xfId="33" applyNumberFormat="1" applyFont="1" applyBorder="1" applyAlignment="1">
      <alignment horizontal="center"/>
    </xf>
    <xf numFmtId="187" fontId="18" fillId="0" borderId="17" xfId="33" applyNumberFormat="1" applyFont="1" applyBorder="1" applyAlignment="1">
      <alignment horizontal="center"/>
    </xf>
    <xf numFmtId="0" fontId="16" fillId="0" borderId="0" xfId="0" applyFont="1" applyFill="1" applyBorder="1" applyAlignment="1">
      <alignment vertical="top"/>
    </xf>
    <xf numFmtId="4" fontId="16" fillId="0" borderId="0" xfId="0" applyNumberFormat="1" applyFont="1" applyFill="1" applyAlignment="1">
      <alignment vertical="top"/>
    </xf>
    <xf numFmtId="49" fontId="9" fillId="0" borderId="26" xfId="0" applyNumberFormat="1" applyFont="1" applyBorder="1" applyAlignment="1">
      <alignment horizontal="justify" vertical="top"/>
    </xf>
    <xf numFmtId="188" fontId="9" fillId="0" borderId="26" xfId="33" applyNumberFormat="1" applyFont="1" applyFill="1" applyBorder="1" applyAlignment="1">
      <alignment horizontal="right" vertical="top"/>
    </xf>
    <xf numFmtId="0" fontId="29" fillId="0" borderId="12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187" fontId="18" fillId="0" borderId="17" xfId="33" applyNumberFormat="1" applyFont="1" applyBorder="1" applyAlignment="1">
      <alignment horizontal="center" vertical="top"/>
    </xf>
    <xf numFmtId="0" fontId="19" fillId="34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6" fillId="0" borderId="0" xfId="0" applyNumberFormat="1" applyFont="1" applyFill="1" applyAlignment="1">
      <alignment vertical="top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43" fontId="9" fillId="0" borderId="0" xfId="33" applyFont="1" applyFill="1" applyAlignment="1">
      <alignment vertical="top"/>
    </xf>
    <xf numFmtId="43" fontId="2" fillId="0" borderId="38" xfId="33" applyFont="1" applyFill="1" applyBorder="1" applyAlignment="1">
      <alignment/>
    </xf>
    <xf numFmtId="43" fontId="2" fillId="0" borderId="39" xfId="33" applyFont="1" applyFill="1" applyBorder="1" applyAlignment="1">
      <alignment/>
    </xf>
    <xf numFmtId="0" fontId="3" fillId="0" borderId="39" xfId="0" applyFont="1" applyFill="1" applyBorder="1" applyAlignment="1">
      <alignment/>
    </xf>
    <xf numFmtId="43" fontId="6" fillId="0" borderId="39" xfId="33" applyFont="1" applyFill="1" applyBorder="1" applyAlignment="1">
      <alignment/>
    </xf>
    <xf numFmtId="43" fontId="6" fillId="0" borderId="0" xfId="33" applyFont="1" applyFill="1" applyBorder="1" applyAlignment="1">
      <alignment/>
    </xf>
    <xf numFmtId="3" fontId="12" fillId="0" borderId="12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right" vertical="top"/>
    </xf>
    <xf numFmtId="43" fontId="12" fillId="0" borderId="13" xfId="33" applyFont="1" applyFill="1" applyBorder="1" applyAlignment="1">
      <alignment vertical="top"/>
    </xf>
    <xf numFmtId="4" fontId="12" fillId="0" borderId="12" xfId="33" applyNumberFormat="1" applyFont="1" applyFill="1" applyBorder="1" applyAlignment="1">
      <alignment vertical="top"/>
    </xf>
    <xf numFmtId="0" fontId="2" fillId="0" borderId="24" xfId="0" applyFont="1" applyFill="1" applyBorder="1" applyAlignment="1">
      <alignment horizontal="left"/>
    </xf>
    <xf numFmtId="187" fontId="17" fillId="0" borderId="11" xfId="33" applyNumberFormat="1" applyFont="1" applyBorder="1" applyAlignment="1">
      <alignment/>
    </xf>
    <xf numFmtId="0" fontId="26" fillId="0" borderId="11" xfId="0" applyFont="1" applyBorder="1" applyAlignment="1">
      <alignment vertical="top"/>
    </xf>
    <xf numFmtId="43" fontId="8" fillId="0" borderId="10" xfId="33" applyFont="1" applyFill="1" applyBorder="1" applyAlignment="1">
      <alignment vertical="top"/>
    </xf>
    <xf numFmtId="43" fontId="8" fillId="0" borderId="12" xfId="33" applyFont="1" applyFill="1" applyBorder="1" applyAlignment="1">
      <alignment vertical="top"/>
    </xf>
    <xf numFmtId="0" fontId="13" fillId="0" borderId="12" xfId="0" applyFont="1" applyFill="1" applyBorder="1" applyAlignment="1">
      <alignment vertical="top"/>
    </xf>
    <xf numFmtId="0" fontId="11" fillId="0" borderId="12" xfId="0" applyFont="1" applyFill="1" applyBorder="1" applyAlignment="1">
      <alignment horizontal="left" vertical="center"/>
    </xf>
    <xf numFmtId="43" fontId="19" fillId="0" borderId="0" xfId="33" applyNumberFormat="1" applyFont="1" applyAlignment="1">
      <alignment/>
    </xf>
    <xf numFmtId="43" fontId="19" fillId="35" borderId="10" xfId="33" applyNumberFormat="1" applyFont="1" applyFill="1" applyBorder="1" applyAlignment="1">
      <alignment horizontal="center"/>
    </xf>
    <xf numFmtId="43" fontId="19" fillId="34" borderId="10" xfId="33" applyNumberFormat="1" applyFont="1" applyFill="1" applyBorder="1" applyAlignment="1">
      <alignment/>
    </xf>
    <xf numFmtId="43" fontId="19" fillId="34" borderId="10" xfId="0" applyNumberFormat="1" applyFont="1" applyFill="1" applyBorder="1" applyAlignment="1">
      <alignment/>
    </xf>
    <xf numFmtId="43" fontId="19" fillId="35" borderId="10" xfId="33" applyNumberFormat="1" applyFont="1" applyFill="1" applyBorder="1" applyAlignment="1">
      <alignment horizontal="center" vertical="center"/>
    </xf>
    <xf numFmtId="43" fontId="19" fillId="0" borderId="0" xfId="33" applyNumberFormat="1" applyFont="1" applyAlignment="1">
      <alignment horizontal="center"/>
    </xf>
    <xf numFmtId="43" fontId="19" fillId="34" borderId="10" xfId="33" applyNumberFormat="1" applyFont="1" applyFill="1" applyBorder="1" applyAlignment="1">
      <alignment horizontal="center"/>
    </xf>
    <xf numFmtId="43" fontId="19" fillId="0" borderId="0" xfId="33" applyNumberFormat="1" applyFont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43" fontId="16" fillId="0" borderId="0" xfId="33" applyFont="1" applyFill="1" applyAlignment="1">
      <alignment vertical="top"/>
    </xf>
    <xf numFmtId="43" fontId="16" fillId="0" borderId="0" xfId="33" applyFont="1" applyFill="1" applyBorder="1" applyAlignment="1">
      <alignment vertical="top"/>
    </xf>
    <xf numFmtId="43" fontId="16" fillId="0" borderId="15" xfId="33" applyFont="1" applyFill="1" applyBorder="1" applyAlignment="1">
      <alignment horizontal="center" vertical="center"/>
    </xf>
    <xf numFmtId="43" fontId="16" fillId="0" borderId="0" xfId="33" applyFont="1" applyFill="1" applyAlignment="1">
      <alignment vertical="center"/>
    </xf>
    <xf numFmtId="43" fontId="16" fillId="0" borderId="0" xfId="33" applyFont="1" applyFill="1" applyBorder="1" applyAlignment="1">
      <alignment vertical="center"/>
    </xf>
    <xf numFmtId="43" fontId="16" fillId="0" borderId="15" xfId="33" applyFont="1" applyFill="1" applyBorder="1" applyAlignment="1">
      <alignment vertical="center"/>
    </xf>
    <xf numFmtId="0" fontId="11" fillId="0" borderId="15" xfId="0" applyFont="1" applyFill="1" applyBorder="1" applyAlignment="1">
      <alignment vertical="top"/>
    </xf>
    <xf numFmtId="187" fontId="14" fillId="0" borderId="14" xfId="33" applyNumberFormat="1" applyFont="1" applyBorder="1" applyAlignment="1">
      <alignment/>
    </xf>
    <xf numFmtId="0" fontId="10" fillId="0" borderId="26" xfId="0" applyFont="1" applyBorder="1" applyAlignment="1">
      <alignment vertical="top"/>
    </xf>
    <xf numFmtId="2" fontId="9" fillId="0" borderId="26" xfId="33" applyNumberFormat="1" applyFont="1" applyFill="1" applyBorder="1" applyAlignment="1">
      <alignment horizontal="right" vertical="center"/>
    </xf>
    <xf numFmtId="2" fontId="9" fillId="0" borderId="26" xfId="33" applyNumberFormat="1" applyFont="1" applyFill="1" applyBorder="1" applyAlignment="1">
      <alignment vertical="top"/>
    </xf>
    <xf numFmtId="187" fontId="17" fillId="0" borderId="14" xfId="33" applyNumberFormat="1" applyFont="1" applyBorder="1" applyAlignment="1">
      <alignment/>
    </xf>
    <xf numFmtId="187" fontId="18" fillId="0" borderId="19" xfId="33" applyNumberFormat="1" applyFont="1" applyBorder="1" applyAlignment="1">
      <alignment horizontal="center"/>
    </xf>
    <xf numFmtId="43" fontId="18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2" fillId="0" borderId="16" xfId="33" applyNumberFormat="1" applyFont="1" applyFill="1" applyBorder="1" applyAlignment="1">
      <alignment vertical="top"/>
    </xf>
    <xf numFmtId="0" fontId="13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14" fillId="0" borderId="12" xfId="0" applyFont="1" applyBorder="1" applyAlignment="1">
      <alignment/>
    </xf>
    <xf numFmtId="43" fontId="9" fillId="0" borderId="26" xfId="33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87" fontId="18" fillId="0" borderId="10" xfId="33" applyNumberFormat="1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43" fontId="16" fillId="0" borderId="0" xfId="33" applyFont="1" applyFill="1" applyAlignment="1">
      <alignment horizontal="center" vertical="center"/>
    </xf>
    <xf numFmtId="43" fontId="16" fillId="0" borderId="0" xfId="33" applyFont="1" applyFill="1" applyAlignment="1">
      <alignment horizontal="center"/>
    </xf>
    <xf numFmtId="0" fontId="32" fillId="0" borderId="28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43" fontId="2" fillId="0" borderId="34" xfId="33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/>
    </xf>
    <xf numFmtId="43" fontId="2" fillId="0" borderId="25" xfId="33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3" fontId="3" fillId="0" borderId="26" xfId="33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43" fontId="2" fillId="0" borderId="26" xfId="0" applyNumberFormat="1" applyFont="1" applyFill="1" applyBorder="1" applyAlignment="1">
      <alignment horizontal="center" vertical="center" wrapText="1"/>
    </xf>
    <xf numFmtId="43" fontId="2" fillId="0" borderId="26" xfId="33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43" fontId="2" fillId="0" borderId="13" xfId="33" applyFont="1" applyFill="1" applyBorder="1" applyAlignment="1">
      <alignment horizontal="center" vertical="center" wrapText="1"/>
    </xf>
    <xf numFmtId="43" fontId="3" fillId="0" borderId="31" xfId="33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3" fontId="2" fillId="0" borderId="31" xfId="0" applyNumberFormat="1" applyFont="1" applyFill="1" applyBorder="1" applyAlignment="1">
      <alignment horizontal="center" vertical="center" wrapText="1"/>
    </xf>
    <xf numFmtId="43" fontId="6" fillId="0" borderId="25" xfId="0" applyNumberFormat="1" applyFont="1" applyFill="1" applyBorder="1" applyAlignment="1">
      <alignment/>
    </xf>
    <xf numFmtId="0" fontId="2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3" fontId="2" fillId="0" borderId="25" xfId="0" applyNumberFormat="1" applyFont="1" applyFill="1" applyBorder="1" applyAlignment="1">
      <alignment vertical="center"/>
    </xf>
    <xf numFmtId="43" fontId="5" fillId="0" borderId="25" xfId="0" applyNumberFormat="1" applyFont="1" applyFill="1" applyBorder="1" applyAlignment="1">
      <alignment vertical="center"/>
    </xf>
    <xf numFmtId="43" fontId="3" fillId="0" borderId="25" xfId="0" applyNumberFormat="1" applyFont="1" applyFill="1" applyBorder="1" applyAlignment="1">
      <alignment vertical="center"/>
    </xf>
    <xf numFmtId="43" fontId="33" fillId="0" borderId="0" xfId="0" applyNumberFormat="1" applyFont="1" applyFill="1" applyAlignment="1">
      <alignment vertical="center"/>
    </xf>
    <xf numFmtId="0" fontId="3" fillId="0" borderId="30" xfId="0" applyFont="1" applyFill="1" applyBorder="1" applyAlignment="1">
      <alignment/>
    </xf>
    <xf numFmtId="43" fontId="3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87" fontId="18" fillId="0" borderId="13" xfId="33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43" fontId="18" fillId="0" borderId="0" xfId="33" applyFont="1" applyAlignment="1">
      <alignment horizontal="right"/>
    </xf>
    <xf numFmtId="187" fontId="18" fillId="0" borderId="0" xfId="0" applyNumberFormat="1" applyFont="1" applyAlignment="1">
      <alignment horizontal="center"/>
    </xf>
    <xf numFmtId="0" fontId="18" fillId="0" borderId="12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top"/>
    </xf>
    <xf numFmtId="43" fontId="9" fillId="0" borderId="0" xfId="33" applyFont="1" applyFill="1" applyBorder="1" applyAlignment="1">
      <alignment horizontal="right" vertical="top"/>
    </xf>
    <xf numFmtId="0" fontId="31" fillId="0" borderId="26" xfId="0" applyFont="1" applyBorder="1" applyAlignment="1">
      <alignment vertical="top"/>
    </xf>
    <xf numFmtId="188" fontId="9" fillId="0" borderId="26" xfId="33" applyNumberFormat="1" applyFont="1" applyFill="1" applyBorder="1" applyAlignment="1">
      <alignment vertical="top"/>
    </xf>
    <xf numFmtId="43" fontId="9" fillId="0" borderId="26" xfId="33" applyFont="1" applyFill="1" applyBorder="1" applyAlignment="1">
      <alignment horizontal="right" vertical="center"/>
    </xf>
    <xf numFmtId="43" fontId="9" fillId="0" borderId="26" xfId="33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vertical="center"/>
    </xf>
    <xf numFmtId="43" fontId="12" fillId="0" borderId="12" xfId="33" applyFont="1" applyFill="1" applyBorder="1" applyAlignment="1">
      <alignment horizontal="center" vertical="top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18" fillId="0" borderId="0" xfId="33" applyFont="1" applyAlignment="1">
      <alignment/>
    </xf>
    <xf numFmtId="187" fontId="14" fillId="0" borderId="17" xfId="33" applyNumberFormat="1" applyFont="1" applyBorder="1" applyAlignment="1">
      <alignment horizontal="center" vertical="center"/>
    </xf>
    <xf numFmtId="187" fontId="14" fillId="0" borderId="11" xfId="33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/>
    </xf>
    <xf numFmtId="43" fontId="30" fillId="0" borderId="10" xfId="33" applyFont="1" applyFill="1" applyBorder="1" applyAlignment="1">
      <alignment horizontal="center" vertical="top"/>
    </xf>
    <xf numFmtId="4" fontId="30" fillId="0" borderId="10" xfId="33" applyNumberFormat="1" applyFont="1" applyFill="1" applyBorder="1" applyAlignment="1">
      <alignment vertical="top"/>
    </xf>
    <xf numFmtId="43" fontId="34" fillId="0" borderId="41" xfId="33" applyFont="1" applyFill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right" vertical="top"/>
    </xf>
    <xf numFmtId="4" fontId="8" fillId="0" borderId="16" xfId="33" applyNumberFormat="1" applyFont="1" applyFill="1" applyBorder="1" applyAlignment="1">
      <alignment vertical="top"/>
    </xf>
    <xf numFmtId="0" fontId="18" fillId="0" borderId="13" xfId="0" applyFont="1" applyFill="1" applyBorder="1" applyAlignment="1">
      <alignment horizontal="left" vertical="center"/>
    </xf>
    <xf numFmtId="43" fontId="9" fillId="0" borderId="13" xfId="33" applyFont="1" applyFill="1" applyBorder="1" applyAlignment="1">
      <alignment horizontal="center" vertical="top"/>
    </xf>
    <xf numFmtId="0" fontId="35" fillId="0" borderId="24" xfId="0" applyFont="1" applyFill="1" applyBorder="1" applyAlignment="1">
      <alignment/>
    </xf>
    <xf numFmtId="43" fontId="35" fillId="0" borderId="31" xfId="0" applyNumberFormat="1" applyFont="1" applyFill="1" applyBorder="1" applyAlignment="1">
      <alignment/>
    </xf>
    <xf numFmtId="43" fontId="17" fillId="0" borderId="12" xfId="33" applyFont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43" fontId="2" fillId="36" borderId="26" xfId="33" applyFont="1" applyFill="1" applyBorder="1" applyAlignment="1">
      <alignment/>
    </xf>
    <xf numFmtId="43" fontId="6" fillId="36" borderId="26" xfId="33" applyFont="1" applyFill="1" applyBorder="1" applyAlignment="1">
      <alignment/>
    </xf>
    <xf numFmtId="43" fontId="2" fillId="36" borderId="0" xfId="0" applyNumberFormat="1" applyFont="1" applyFill="1" applyAlignment="1">
      <alignment/>
    </xf>
    <xf numFmtId="43" fontId="2" fillId="36" borderId="0" xfId="33" applyFont="1" applyFill="1" applyAlignment="1">
      <alignment/>
    </xf>
    <xf numFmtId="0" fontId="2" fillId="36" borderId="0" xfId="0" applyFont="1" applyFill="1" applyAlignment="1">
      <alignment/>
    </xf>
    <xf numFmtId="0" fontId="3" fillId="0" borderId="0" xfId="0" applyFont="1" applyFill="1" applyBorder="1" applyAlignment="1">
      <alignment/>
    </xf>
    <xf numFmtId="43" fontId="35" fillId="0" borderId="0" xfId="0" applyNumberFormat="1" applyFont="1" applyFill="1" applyBorder="1" applyAlignment="1">
      <alignment/>
    </xf>
    <xf numFmtId="43" fontId="71" fillId="34" borderId="10" xfId="33" applyFont="1" applyFill="1" applyBorder="1" applyAlignment="1">
      <alignment horizontal="center"/>
    </xf>
    <xf numFmtId="43" fontId="71" fillId="34" borderId="10" xfId="33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Border="1" applyAlignment="1">
      <alignment vertical="top"/>
    </xf>
    <xf numFmtId="0" fontId="72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top"/>
    </xf>
    <xf numFmtId="4" fontId="9" fillId="0" borderId="12" xfId="0" applyNumberFormat="1" applyFont="1" applyFill="1" applyBorder="1" applyAlignment="1">
      <alignment vertical="top"/>
    </xf>
    <xf numFmtId="4" fontId="12" fillId="0" borderId="11" xfId="33" applyNumberFormat="1" applyFont="1" applyFill="1" applyBorder="1" applyAlignment="1">
      <alignment vertical="top"/>
    </xf>
    <xf numFmtId="4" fontId="12" fillId="0" borderId="0" xfId="33" applyNumberFormat="1" applyFont="1" applyFill="1" applyBorder="1" applyAlignment="1">
      <alignment vertical="top"/>
    </xf>
    <xf numFmtId="4" fontId="7" fillId="0" borderId="0" xfId="33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vertical="top"/>
    </xf>
    <xf numFmtId="4" fontId="9" fillId="0" borderId="17" xfId="0" applyNumberFormat="1" applyFont="1" applyFill="1" applyBorder="1" applyAlignment="1">
      <alignment horizontal="right" vertical="top"/>
    </xf>
    <xf numFmtId="4" fontId="9" fillId="0" borderId="17" xfId="33" applyNumberFormat="1" applyFont="1" applyFill="1" applyBorder="1" applyAlignment="1">
      <alignment vertical="top"/>
    </xf>
    <xf numFmtId="4" fontId="9" fillId="0" borderId="17" xfId="33" applyNumberFormat="1" applyFont="1" applyFill="1" applyBorder="1" applyAlignment="1">
      <alignment horizontal="right" vertical="top"/>
    </xf>
    <xf numFmtId="43" fontId="11" fillId="0" borderId="12" xfId="33" applyFont="1" applyFill="1" applyBorder="1" applyAlignment="1">
      <alignment vertical="top"/>
    </xf>
    <xf numFmtId="4" fontId="7" fillId="0" borderId="0" xfId="33" applyNumberFormat="1" applyFont="1" applyFill="1" applyBorder="1" applyAlignment="1">
      <alignment horizontal="right" vertical="top"/>
    </xf>
    <xf numFmtId="4" fontId="34" fillId="0" borderId="42" xfId="0" applyNumberFormat="1" applyFont="1" applyFill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right" vertical="top"/>
    </xf>
    <xf numFmtId="0" fontId="14" fillId="0" borderId="12" xfId="0" applyFont="1" applyFill="1" applyBorder="1" applyAlignment="1">
      <alignment horizontal="left" vertical="center"/>
    </xf>
    <xf numFmtId="4" fontId="9" fillId="0" borderId="13" xfId="0" applyNumberFormat="1" applyFont="1" applyFill="1" applyBorder="1" applyAlignment="1">
      <alignment horizontal="right" vertical="top"/>
    </xf>
    <xf numFmtId="4" fontId="12" fillId="0" borderId="10" xfId="0" applyNumberFormat="1" applyFont="1" applyFill="1" applyBorder="1" applyAlignment="1">
      <alignment horizontal="right" vertical="top"/>
    </xf>
    <xf numFmtId="4" fontId="12" fillId="0" borderId="43" xfId="0" applyNumberFormat="1" applyFont="1" applyFill="1" applyBorder="1" applyAlignment="1">
      <alignment horizontal="right" vertical="top"/>
    </xf>
    <xf numFmtId="49" fontId="2" fillId="36" borderId="10" xfId="0" applyNumberFormat="1" applyFont="1" applyFill="1" applyBorder="1" applyAlignment="1">
      <alignment horizontal="center"/>
    </xf>
    <xf numFmtId="49" fontId="2" fillId="36" borderId="0" xfId="0" applyNumberFormat="1" applyFont="1" applyFill="1" applyAlignment="1">
      <alignment horizontal="center"/>
    </xf>
    <xf numFmtId="43" fontId="2" fillId="36" borderId="0" xfId="33" applyFont="1" applyFill="1" applyAlignment="1">
      <alignment horizontal="center"/>
    </xf>
    <xf numFmtId="49" fontId="5" fillId="36" borderId="10" xfId="0" applyNumberFormat="1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3" fillId="36" borderId="32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43" fontId="2" fillId="36" borderId="34" xfId="33" applyFont="1" applyFill="1" applyBorder="1" applyAlignment="1">
      <alignment/>
    </xf>
    <xf numFmtId="43" fontId="5" fillId="36" borderId="34" xfId="33" applyFont="1" applyFill="1" applyBorder="1" applyAlignment="1">
      <alignment/>
    </xf>
    <xf numFmtId="0" fontId="2" fillId="36" borderId="28" xfId="0" applyFont="1" applyFill="1" applyBorder="1" applyAlignment="1">
      <alignment/>
    </xf>
    <xf numFmtId="43" fontId="5" fillId="36" borderId="26" xfId="33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43" fontId="2" fillId="36" borderId="31" xfId="33" applyFont="1" applyFill="1" applyBorder="1" applyAlignment="1">
      <alignment/>
    </xf>
    <xf numFmtId="43" fontId="5" fillId="36" borderId="31" xfId="33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43" fontId="2" fillId="36" borderId="25" xfId="33" applyFont="1" applyFill="1" applyBorder="1" applyAlignment="1">
      <alignment/>
    </xf>
    <xf numFmtId="43" fontId="5" fillId="36" borderId="25" xfId="33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43" fontId="2" fillId="36" borderId="20" xfId="33" applyFont="1" applyFill="1" applyBorder="1" applyAlignment="1">
      <alignment/>
    </xf>
    <xf numFmtId="43" fontId="5" fillId="36" borderId="20" xfId="33" applyFont="1" applyFill="1" applyBorder="1" applyAlignment="1">
      <alignment/>
    </xf>
    <xf numFmtId="43" fontId="2" fillId="36" borderId="20" xfId="33" applyFont="1" applyFill="1" applyBorder="1" applyAlignment="1">
      <alignment horizontal="right"/>
    </xf>
    <xf numFmtId="0" fontId="4" fillId="36" borderId="28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43" fontId="2" fillId="36" borderId="0" xfId="33" applyFont="1" applyFill="1" applyBorder="1" applyAlignment="1">
      <alignment/>
    </xf>
    <xf numFmtId="43" fontId="5" fillId="36" borderId="0" xfId="33" applyFont="1" applyFill="1" applyBorder="1" applyAlignment="1">
      <alignment/>
    </xf>
    <xf numFmtId="43" fontId="23" fillId="36" borderId="0" xfId="33" applyFont="1" applyFill="1" applyBorder="1" applyAlignment="1">
      <alignment horizontal="right"/>
    </xf>
    <xf numFmtId="43" fontId="2" fillId="36" borderId="26" xfId="0" applyNumberFormat="1" applyFont="1" applyFill="1" applyBorder="1" applyAlignment="1">
      <alignment/>
    </xf>
    <xf numFmtId="0" fontId="2" fillId="36" borderId="24" xfId="0" applyFont="1" applyFill="1" applyBorder="1" applyAlignment="1">
      <alignment horizontal="left"/>
    </xf>
    <xf numFmtId="43" fontId="5" fillId="36" borderId="26" xfId="0" applyNumberFormat="1" applyFont="1" applyFill="1" applyBorder="1" applyAlignment="1">
      <alignment/>
    </xf>
    <xf numFmtId="43" fontId="2" fillId="36" borderId="31" xfId="0" applyNumberFormat="1" applyFont="1" applyFill="1" applyBorder="1" applyAlignment="1">
      <alignment/>
    </xf>
    <xf numFmtId="43" fontId="5" fillId="36" borderId="31" xfId="0" applyNumberFormat="1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43" fontId="2" fillId="36" borderId="25" xfId="0" applyNumberFormat="1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5" fillId="36" borderId="0" xfId="0" applyFont="1" applyFill="1" applyAlignment="1">
      <alignment/>
    </xf>
    <xf numFmtId="0" fontId="2" fillId="36" borderId="0" xfId="0" applyFont="1" applyFill="1" applyAlignment="1">
      <alignment horizontal="left"/>
    </xf>
    <xf numFmtId="4" fontId="2" fillId="36" borderId="0" xfId="0" applyNumberFormat="1" applyFont="1" applyFill="1" applyAlignment="1">
      <alignment horizontal="left"/>
    </xf>
    <xf numFmtId="0" fontId="6" fillId="36" borderId="0" xfId="0" applyFont="1" applyFill="1" applyAlignment="1">
      <alignment/>
    </xf>
    <xf numFmtId="0" fontId="2" fillId="36" borderId="0" xfId="0" applyFont="1" applyFill="1" applyAlignment="1">
      <alignment/>
    </xf>
    <xf numFmtId="43" fontId="71" fillId="0" borderId="0" xfId="33" applyFont="1" applyAlignment="1">
      <alignment/>
    </xf>
    <xf numFmtId="43" fontId="71" fillId="0" borderId="0" xfId="33" applyFont="1" applyAlignment="1">
      <alignment horizontal="center"/>
    </xf>
    <xf numFmtId="0" fontId="14" fillId="0" borderId="0" xfId="0" applyFont="1" applyBorder="1" applyAlignment="1">
      <alignment horizontal="left" vertical="top"/>
    </xf>
    <xf numFmtId="187" fontId="72" fillId="0" borderId="0" xfId="0" applyNumberFormat="1" applyFont="1" applyAlignment="1">
      <alignment horizontal="center"/>
    </xf>
    <xf numFmtId="187" fontId="17" fillId="33" borderId="44" xfId="33" applyNumberFormat="1" applyFont="1" applyFill="1" applyBorder="1" applyAlignment="1">
      <alignment horizontal="center"/>
    </xf>
    <xf numFmtId="187" fontId="17" fillId="33" borderId="16" xfId="33" applyNumberFormat="1" applyFont="1" applyFill="1" applyBorder="1" applyAlignment="1">
      <alignment horizontal="center"/>
    </xf>
    <xf numFmtId="187" fontId="17" fillId="33" borderId="35" xfId="33" applyNumberFormat="1" applyFont="1" applyFill="1" applyBorder="1" applyAlignment="1">
      <alignment horizontal="center"/>
    </xf>
    <xf numFmtId="187" fontId="17" fillId="0" borderId="0" xfId="33" applyNumberFormat="1" applyFont="1" applyBorder="1" applyAlignment="1">
      <alignment horizontal="center"/>
    </xf>
    <xf numFmtId="187" fontId="17" fillId="0" borderId="0" xfId="33" applyNumberFormat="1" applyFont="1" applyAlignment="1">
      <alignment horizontal="center"/>
    </xf>
    <xf numFmtId="187" fontId="17" fillId="0" borderId="20" xfId="33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top"/>
    </xf>
    <xf numFmtId="187" fontId="12" fillId="0" borderId="0" xfId="33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12" fillId="0" borderId="45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left"/>
    </xf>
    <xf numFmtId="0" fontId="3" fillId="36" borderId="47" xfId="0" applyFont="1" applyFill="1" applyBorder="1" applyAlignment="1">
      <alignment horizontal="left"/>
    </xf>
    <xf numFmtId="0" fontId="3" fillId="36" borderId="48" xfId="0" applyFont="1" applyFill="1" applyBorder="1" applyAlignment="1">
      <alignment horizontal="left"/>
    </xf>
    <xf numFmtId="0" fontId="3" fillId="36" borderId="49" xfId="0" applyFont="1" applyFill="1" applyBorder="1" applyAlignment="1">
      <alignment horizontal="left"/>
    </xf>
    <xf numFmtId="0" fontId="3" fillId="36" borderId="50" xfId="0" applyFont="1" applyFill="1" applyBorder="1" applyAlignment="1">
      <alignment horizontal="left"/>
    </xf>
    <xf numFmtId="0" fontId="3" fillId="36" borderId="51" xfId="0" applyFont="1" applyFill="1" applyBorder="1" applyAlignment="1">
      <alignment horizontal="left"/>
    </xf>
    <xf numFmtId="49" fontId="2" fillId="36" borderId="10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49" fontId="2" fillId="36" borderId="18" xfId="0" applyNumberFormat="1" applyFont="1" applyFill="1" applyBorder="1" applyAlignment="1">
      <alignment horizontal="center" vertical="center" wrapText="1"/>
    </xf>
    <xf numFmtId="49" fontId="2" fillId="36" borderId="52" xfId="0" applyNumberFormat="1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49" fontId="2" fillId="36" borderId="21" xfId="0" applyNumberFormat="1" applyFont="1" applyFill="1" applyBorder="1" applyAlignment="1">
      <alignment horizontal="center" vertical="center" wrapText="1"/>
    </xf>
    <xf numFmtId="49" fontId="2" fillId="36" borderId="19" xfId="0" applyNumberFormat="1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49" fontId="2" fillId="36" borderId="44" xfId="0" applyNumberFormat="1" applyFont="1" applyFill="1" applyBorder="1" applyAlignment="1">
      <alignment horizontal="center"/>
    </xf>
    <xf numFmtId="49" fontId="2" fillId="36" borderId="16" xfId="0" applyNumberFormat="1" applyFont="1" applyFill="1" applyBorder="1" applyAlignment="1">
      <alignment horizontal="center"/>
    </xf>
    <xf numFmtId="49" fontId="2" fillId="36" borderId="35" xfId="0" applyNumberFormat="1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3" fillId="0" borderId="47" xfId="0" applyFont="1" applyBorder="1" applyAlignment="1">
      <alignment/>
    </xf>
    <xf numFmtId="0" fontId="73" fillId="0" borderId="48" xfId="0" applyFont="1" applyBorder="1" applyAlignment="1">
      <alignment/>
    </xf>
    <xf numFmtId="0" fontId="73" fillId="0" borderId="49" xfId="0" applyFont="1" applyBorder="1" applyAlignment="1">
      <alignment/>
    </xf>
    <xf numFmtId="0" fontId="73" fillId="0" borderId="50" xfId="0" applyFont="1" applyBorder="1" applyAlignment="1">
      <alignment/>
    </xf>
    <xf numFmtId="0" fontId="73" fillId="0" borderId="51" xfId="0" applyFont="1" applyBorder="1" applyAlignment="1">
      <alignment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view="pageBreakPreview" zoomScale="90" zoomScaleSheetLayoutView="90" zoomScalePageLayoutView="0" workbookViewId="0" topLeftCell="A16">
      <selection activeCell="D33" sqref="D33"/>
    </sheetView>
  </sheetViews>
  <sheetFormatPr defaultColWidth="9.140625" defaultRowHeight="15"/>
  <cols>
    <col min="1" max="1" width="10.57421875" style="21" customWidth="1"/>
    <col min="2" max="2" width="14.421875" style="21" bestFit="1" customWidth="1"/>
    <col min="3" max="3" width="9.421875" style="21" customWidth="1"/>
    <col min="4" max="4" width="11.28125" style="21" customWidth="1"/>
    <col min="5" max="5" width="26.8515625" style="21" customWidth="1"/>
    <col min="6" max="6" width="9.00390625" style="106" customWidth="1"/>
    <col min="7" max="7" width="11.140625" style="21" customWidth="1"/>
    <col min="8" max="14" width="9.57421875" style="25" customWidth="1"/>
    <col min="15" max="15" width="9.57421875" style="261" customWidth="1"/>
    <col min="16" max="17" width="9.57421875" style="25" customWidth="1"/>
    <col min="18" max="18" width="9.57421875" style="106" customWidth="1"/>
    <col min="19" max="19" width="9.57421875" style="25" customWidth="1"/>
    <col min="20" max="20" width="9.421875" style="7" bestFit="1" customWidth="1"/>
    <col min="21" max="21" width="10.421875" style="7" bestFit="1" customWidth="1"/>
    <col min="22" max="16384" width="9.00390625" style="7" customWidth="1"/>
  </cols>
  <sheetData>
    <row r="1" spans="1:7" ht="18.75">
      <c r="A1" s="451" t="s">
        <v>182</v>
      </c>
      <c r="B1" s="451"/>
      <c r="C1" s="451"/>
      <c r="D1" s="451"/>
      <c r="E1" s="451"/>
      <c r="F1" s="451"/>
      <c r="G1" s="451"/>
    </row>
    <row r="2" spans="1:7" ht="18.75">
      <c r="A2" s="451" t="s">
        <v>21</v>
      </c>
      <c r="B2" s="451"/>
      <c r="C2" s="451"/>
      <c r="D2" s="451"/>
      <c r="E2" s="451"/>
      <c r="F2" s="451"/>
      <c r="G2" s="451"/>
    </row>
    <row r="3" spans="1:7" ht="18.75">
      <c r="A3" s="452" t="s">
        <v>287</v>
      </c>
      <c r="B3" s="452"/>
      <c r="C3" s="452"/>
      <c r="D3" s="452"/>
      <c r="E3" s="452"/>
      <c r="F3" s="452"/>
      <c r="G3" s="452"/>
    </row>
    <row r="4" spans="1:7" ht="18.75">
      <c r="A4" s="452" t="s">
        <v>437</v>
      </c>
      <c r="B4" s="452"/>
      <c r="C4" s="452"/>
      <c r="D4" s="452"/>
      <c r="E4" s="452"/>
      <c r="F4" s="452"/>
      <c r="G4" s="452"/>
    </row>
    <row r="5" spans="1:7" ht="18.75">
      <c r="A5" s="453"/>
      <c r="B5" s="453"/>
      <c r="C5" s="453"/>
      <c r="D5" s="453"/>
      <c r="E5" s="453"/>
      <c r="F5" s="453"/>
      <c r="G5" s="453"/>
    </row>
    <row r="6" spans="1:7" ht="18.75">
      <c r="A6" s="448" t="s">
        <v>22</v>
      </c>
      <c r="B6" s="449"/>
      <c r="C6" s="449"/>
      <c r="D6" s="450"/>
      <c r="E6" s="9"/>
      <c r="F6" s="225"/>
      <c r="G6" s="8" t="s">
        <v>23</v>
      </c>
    </row>
    <row r="7" spans="1:7" ht="18.75">
      <c r="A7" s="10" t="s">
        <v>24</v>
      </c>
      <c r="B7" s="10" t="s">
        <v>12</v>
      </c>
      <c r="C7" s="10" t="s">
        <v>17</v>
      </c>
      <c r="D7" s="10" t="s">
        <v>25</v>
      </c>
      <c r="E7" s="11" t="s">
        <v>19</v>
      </c>
      <c r="F7" s="226" t="s">
        <v>26</v>
      </c>
      <c r="G7" s="10" t="s">
        <v>25</v>
      </c>
    </row>
    <row r="8" spans="1:7" ht="18.75">
      <c r="A8" s="12" t="s">
        <v>27</v>
      </c>
      <c r="B8" s="210" t="s">
        <v>212</v>
      </c>
      <c r="C8" s="12" t="s">
        <v>197</v>
      </c>
      <c r="D8" s="12" t="s">
        <v>27</v>
      </c>
      <c r="E8" s="13"/>
      <c r="F8" s="227" t="s">
        <v>28</v>
      </c>
      <c r="G8" s="12" t="s">
        <v>27</v>
      </c>
    </row>
    <row r="9" spans="1:19" ht="18.75">
      <c r="A9" s="14"/>
      <c r="B9" s="14"/>
      <c r="C9" s="14"/>
      <c r="D9" s="255">
        <v>16038420.72</v>
      </c>
      <c r="E9" s="256" t="s">
        <v>20</v>
      </c>
      <c r="F9" s="33"/>
      <c r="G9" s="365">
        <v>14055262.24</v>
      </c>
      <c r="H9" s="189" t="s">
        <v>29</v>
      </c>
      <c r="I9" s="189" t="s">
        <v>30</v>
      </c>
      <c r="J9" s="189" t="s">
        <v>31</v>
      </c>
      <c r="K9" s="189" t="s">
        <v>32</v>
      </c>
      <c r="L9" s="189" t="s">
        <v>33</v>
      </c>
      <c r="M9" s="189" t="s">
        <v>34</v>
      </c>
      <c r="N9" s="189" t="s">
        <v>35</v>
      </c>
      <c r="O9" s="262" t="s">
        <v>36</v>
      </c>
      <c r="P9" s="189" t="s">
        <v>37</v>
      </c>
      <c r="Q9" s="189" t="s">
        <v>38</v>
      </c>
      <c r="R9" s="190" t="s">
        <v>39</v>
      </c>
      <c r="S9" s="189" t="s">
        <v>40</v>
      </c>
    </row>
    <row r="10" spans="1:19" ht="18.75">
      <c r="A10" s="15"/>
      <c r="B10" s="15"/>
      <c r="C10" s="15"/>
      <c r="D10" s="16"/>
      <c r="E10" s="223" t="s">
        <v>330</v>
      </c>
      <c r="F10" s="34"/>
      <c r="G10" s="16"/>
      <c r="H10" s="18"/>
      <c r="I10" s="18"/>
      <c r="J10" s="18"/>
      <c r="K10" s="18"/>
      <c r="L10" s="18"/>
      <c r="M10" s="18"/>
      <c r="N10" s="18"/>
      <c r="O10" s="263"/>
      <c r="P10" s="18"/>
      <c r="Q10" s="18"/>
      <c r="R10" s="191"/>
      <c r="S10" s="18"/>
    </row>
    <row r="11" spans="1:22" ht="18.75">
      <c r="A11" s="27">
        <v>580600</v>
      </c>
      <c r="B11" s="15"/>
      <c r="C11" s="27">
        <f>SUM(A11)</f>
        <v>580600</v>
      </c>
      <c r="D11" s="28">
        <f aca="true" t="shared" si="0" ref="D11:D17">SUM(H11:S11)</f>
        <v>616557.09</v>
      </c>
      <c r="E11" s="214" t="s">
        <v>41</v>
      </c>
      <c r="F11" s="34" t="s">
        <v>246</v>
      </c>
      <c r="G11" s="27">
        <f>SUM(Q11)</f>
        <v>743.63</v>
      </c>
      <c r="H11" s="18">
        <v>285.5</v>
      </c>
      <c r="I11" s="191">
        <v>150.87</v>
      </c>
      <c r="J11" s="191">
        <v>154.31</v>
      </c>
      <c r="K11" s="191">
        <v>12084.36</v>
      </c>
      <c r="L11" s="191">
        <v>43260.31</v>
      </c>
      <c r="M11" s="191">
        <v>29375.24</v>
      </c>
      <c r="N11" s="191">
        <v>492398.62</v>
      </c>
      <c r="O11" s="264">
        <v>36086.79</v>
      </c>
      <c r="P11" s="191">
        <v>2017.46</v>
      </c>
      <c r="Q11" s="18">
        <v>743.63</v>
      </c>
      <c r="R11" s="191"/>
      <c r="S11" s="18"/>
      <c r="V11" s="178" t="s">
        <v>41</v>
      </c>
    </row>
    <row r="12" spans="1:22" ht="18.75">
      <c r="A12" s="27">
        <v>2251900</v>
      </c>
      <c r="B12" s="15"/>
      <c r="C12" s="27">
        <f>SUM(A12)</f>
        <v>2251900</v>
      </c>
      <c r="D12" s="28">
        <f t="shared" si="0"/>
        <v>3015294.1199999996</v>
      </c>
      <c r="E12" s="214" t="s">
        <v>42</v>
      </c>
      <c r="F12" s="34" t="s">
        <v>247</v>
      </c>
      <c r="G12" s="27">
        <f aca="true" t="shared" si="1" ref="G12:G18">SUM(Q12)</f>
        <v>332177.4</v>
      </c>
      <c r="H12" s="18">
        <v>3220.9</v>
      </c>
      <c r="I12" s="191">
        <v>216159.9</v>
      </c>
      <c r="J12" s="191">
        <v>193125.95</v>
      </c>
      <c r="K12" s="191">
        <v>345350.95</v>
      </c>
      <c r="L12" s="191">
        <v>664457.3</v>
      </c>
      <c r="M12" s="191">
        <v>278449.7</v>
      </c>
      <c r="N12" s="191">
        <v>202385.65</v>
      </c>
      <c r="O12" s="264">
        <v>370775.12</v>
      </c>
      <c r="P12" s="191">
        <v>409191.25</v>
      </c>
      <c r="Q12" s="18">
        <v>332177.4</v>
      </c>
      <c r="R12" s="191"/>
      <c r="S12" s="18"/>
      <c r="V12" s="178" t="s">
        <v>42</v>
      </c>
    </row>
    <row r="13" spans="1:22" ht="18.75">
      <c r="A13" s="27">
        <v>120500</v>
      </c>
      <c r="B13" s="15"/>
      <c r="C13" s="27">
        <f aca="true" t="shared" si="2" ref="C13:C18">SUM(A13)</f>
        <v>120500</v>
      </c>
      <c r="D13" s="28">
        <f t="shared" si="0"/>
        <v>83875.43</v>
      </c>
      <c r="E13" s="214" t="s">
        <v>323</v>
      </c>
      <c r="F13" s="34" t="s">
        <v>248</v>
      </c>
      <c r="G13" s="27">
        <f t="shared" si="1"/>
        <v>30601.03</v>
      </c>
      <c r="H13" s="18">
        <v>0</v>
      </c>
      <c r="I13" s="191"/>
      <c r="J13" s="191"/>
      <c r="K13" s="191">
        <v>38358.71</v>
      </c>
      <c r="L13" s="191">
        <v>0</v>
      </c>
      <c r="M13" s="191">
        <v>14915.69</v>
      </c>
      <c r="N13" s="191">
        <v>0</v>
      </c>
      <c r="O13" s="264">
        <v>0</v>
      </c>
      <c r="P13" s="191">
        <v>0</v>
      </c>
      <c r="Q13" s="18">
        <v>30601.03</v>
      </c>
      <c r="R13" s="191"/>
      <c r="S13" s="18"/>
      <c r="V13" s="178" t="s">
        <v>43</v>
      </c>
    </row>
    <row r="14" spans="1:22" ht="18.75">
      <c r="A14" s="27">
        <v>450000</v>
      </c>
      <c r="B14" s="15"/>
      <c r="C14" s="27">
        <f t="shared" si="2"/>
        <v>450000</v>
      </c>
      <c r="D14" s="27">
        <f>SUM(H14:S14)</f>
        <v>531550</v>
      </c>
      <c r="E14" s="214" t="s">
        <v>44</v>
      </c>
      <c r="F14" s="34" t="s">
        <v>249</v>
      </c>
      <c r="G14" s="27">
        <f t="shared" si="1"/>
        <v>102276</v>
      </c>
      <c r="H14" s="18">
        <v>0</v>
      </c>
      <c r="I14" s="191">
        <v>56412</v>
      </c>
      <c r="J14" s="191">
        <v>73934</v>
      </c>
      <c r="K14" s="191">
        <v>0</v>
      </c>
      <c r="L14" s="191">
        <v>74168</v>
      </c>
      <c r="M14" s="191">
        <v>0</v>
      </c>
      <c r="N14" s="191">
        <v>93524</v>
      </c>
      <c r="O14" s="264">
        <v>0</v>
      </c>
      <c r="P14" s="191">
        <v>131236</v>
      </c>
      <c r="Q14" s="18">
        <v>102276</v>
      </c>
      <c r="R14" s="191"/>
      <c r="S14" s="18"/>
      <c r="U14" s="17">
        <f>SUM(D14)</f>
        <v>531550</v>
      </c>
      <c r="V14" s="178" t="s">
        <v>44</v>
      </c>
    </row>
    <row r="15" spans="1:22" ht="18.75">
      <c r="A15" s="27">
        <v>330500</v>
      </c>
      <c r="B15" s="15"/>
      <c r="C15" s="27">
        <f t="shared" si="2"/>
        <v>330500</v>
      </c>
      <c r="D15" s="27">
        <f t="shared" si="0"/>
        <v>53463.95</v>
      </c>
      <c r="E15" s="214" t="s">
        <v>45</v>
      </c>
      <c r="F15" s="34" t="s">
        <v>250</v>
      </c>
      <c r="G15" s="27">
        <f t="shared" si="1"/>
        <v>0</v>
      </c>
      <c r="H15" s="18">
        <v>17099.76</v>
      </c>
      <c r="I15" s="191"/>
      <c r="J15" s="191">
        <v>7366.11</v>
      </c>
      <c r="K15" s="191">
        <v>10000</v>
      </c>
      <c r="L15" s="191">
        <v>0</v>
      </c>
      <c r="M15" s="191">
        <v>18998.08</v>
      </c>
      <c r="N15" s="191">
        <v>0</v>
      </c>
      <c r="O15" s="264">
        <v>0</v>
      </c>
      <c r="P15" s="191">
        <v>0</v>
      </c>
      <c r="Q15" s="18">
        <v>0</v>
      </c>
      <c r="R15" s="191"/>
      <c r="S15" s="18"/>
      <c r="V15" s="178" t="s">
        <v>45</v>
      </c>
    </row>
    <row r="16" spans="1:22" ht="18.75">
      <c r="A16" s="27">
        <v>4000</v>
      </c>
      <c r="B16" s="15"/>
      <c r="C16" s="27">
        <f t="shared" si="2"/>
        <v>4000</v>
      </c>
      <c r="D16" s="27">
        <f t="shared" si="0"/>
        <v>205</v>
      </c>
      <c r="E16" s="214" t="s">
        <v>202</v>
      </c>
      <c r="F16" s="34" t="s">
        <v>251</v>
      </c>
      <c r="G16" s="27">
        <f t="shared" si="1"/>
        <v>0</v>
      </c>
      <c r="H16" s="18">
        <v>205</v>
      </c>
      <c r="I16" s="191"/>
      <c r="J16" s="191"/>
      <c r="K16" s="191">
        <v>0</v>
      </c>
      <c r="L16" s="191">
        <v>0</v>
      </c>
      <c r="M16" s="191">
        <v>0</v>
      </c>
      <c r="N16" s="191">
        <v>0</v>
      </c>
      <c r="O16" s="264">
        <v>0</v>
      </c>
      <c r="P16" s="191">
        <v>0</v>
      </c>
      <c r="Q16" s="18">
        <v>0</v>
      </c>
      <c r="R16" s="191"/>
      <c r="S16" s="18"/>
      <c r="V16" s="178" t="s">
        <v>202</v>
      </c>
    </row>
    <row r="17" spans="1:22" ht="18.75">
      <c r="A17" s="27">
        <v>14181000</v>
      </c>
      <c r="B17" s="15"/>
      <c r="C17" s="27">
        <f t="shared" si="2"/>
        <v>14181000</v>
      </c>
      <c r="D17" s="27">
        <f t="shared" si="0"/>
        <v>12501917.02</v>
      </c>
      <c r="E17" s="214" t="s">
        <v>46</v>
      </c>
      <c r="F17" s="34" t="s">
        <v>252</v>
      </c>
      <c r="G17" s="27">
        <f t="shared" si="1"/>
        <v>1078340.58</v>
      </c>
      <c r="H17" s="18">
        <v>1195505.86</v>
      </c>
      <c r="I17" s="191">
        <v>1328963.31</v>
      </c>
      <c r="J17" s="191">
        <v>1322623.52</v>
      </c>
      <c r="K17" s="191">
        <v>1100773.98</v>
      </c>
      <c r="L17" s="191">
        <v>775704.3</v>
      </c>
      <c r="M17" s="191">
        <v>1816793.58</v>
      </c>
      <c r="N17" s="191">
        <v>1323870.11</v>
      </c>
      <c r="O17" s="264">
        <v>1253109.6</v>
      </c>
      <c r="P17" s="191">
        <v>1306232.18</v>
      </c>
      <c r="Q17" s="18">
        <v>1078340.58</v>
      </c>
      <c r="R17" s="191"/>
      <c r="S17" s="18"/>
      <c r="V17" s="178" t="s">
        <v>46</v>
      </c>
    </row>
    <row r="18" spans="1:22" ht="18.75">
      <c r="A18" s="27">
        <v>15000000</v>
      </c>
      <c r="B18" s="15"/>
      <c r="C18" s="27">
        <f t="shared" si="2"/>
        <v>15000000</v>
      </c>
      <c r="D18" s="27">
        <f>SUM(H18:S18)</f>
        <v>15057277</v>
      </c>
      <c r="E18" s="214" t="s">
        <v>47</v>
      </c>
      <c r="F18" s="34" t="s">
        <v>253</v>
      </c>
      <c r="G18" s="27">
        <f t="shared" si="1"/>
        <v>2500875</v>
      </c>
      <c r="H18" s="18">
        <v>4658846</v>
      </c>
      <c r="I18" s="191"/>
      <c r="J18" s="191"/>
      <c r="K18" s="191">
        <v>3951654</v>
      </c>
      <c r="L18" s="191">
        <v>492164</v>
      </c>
      <c r="M18" s="191">
        <v>240000</v>
      </c>
      <c r="N18" s="18">
        <v>3081528</v>
      </c>
      <c r="O18" s="264">
        <v>132210</v>
      </c>
      <c r="P18" s="191">
        <v>0</v>
      </c>
      <c r="Q18" s="18">
        <v>2500875</v>
      </c>
      <c r="R18" s="191"/>
      <c r="S18" s="18"/>
      <c r="U18" s="19">
        <f>SUM(G20-1996432.07)</f>
        <v>2048581.57</v>
      </c>
      <c r="V18" s="178" t="s">
        <v>47</v>
      </c>
    </row>
    <row r="19" spans="1:22" ht="18.75">
      <c r="A19" s="27"/>
      <c r="B19" s="15">
        <f>30700+4630000</f>
        <v>4660700</v>
      </c>
      <c r="C19" s="27">
        <f>SUM(B19)</f>
        <v>4660700</v>
      </c>
      <c r="D19" s="27">
        <v>0</v>
      </c>
      <c r="E19" s="214" t="s">
        <v>213</v>
      </c>
      <c r="F19" s="34" t="s">
        <v>254</v>
      </c>
      <c r="G19" s="27">
        <f>SUM(Q19)</f>
        <v>0</v>
      </c>
      <c r="H19" s="18"/>
      <c r="I19" s="18"/>
      <c r="J19" s="18"/>
      <c r="K19" s="18">
        <v>30700</v>
      </c>
      <c r="L19" s="18"/>
      <c r="M19" s="18"/>
      <c r="N19" s="18">
        <v>4630000</v>
      </c>
      <c r="O19" s="263">
        <v>0</v>
      </c>
      <c r="P19" s="18">
        <v>0</v>
      </c>
      <c r="Q19" s="18"/>
      <c r="R19" s="191"/>
      <c r="S19" s="18"/>
      <c r="U19" s="19"/>
      <c r="V19" s="178" t="s">
        <v>213</v>
      </c>
    </row>
    <row r="20" spans="1:19" ht="19.5" thickBot="1">
      <c r="A20" s="29">
        <f>SUM(A9:A18)</f>
        <v>32918500</v>
      </c>
      <c r="B20" s="278">
        <f>SUM(B19)</f>
        <v>4660700</v>
      </c>
      <c r="C20" s="29">
        <f>SUM(C11:C19)</f>
        <v>37579200</v>
      </c>
      <c r="D20" s="282">
        <f>SUM(D11:D18)</f>
        <v>31860139.61</v>
      </c>
      <c r="E20" s="213"/>
      <c r="F20" s="34"/>
      <c r="G20" s="282">
        <f>SUM(G11+G12+G13+G14+G15+G16+G17+G18)</f>
        <v>4045013.64</v>
      </c>
      <c r="H20" s="189" t="s">
        <v>29</v>
      </c>
      <c r="I20" s="189" t="s">
        <v>30</v>
      </c>
      <c r="J20" s="189" t="s">
        <v>31</v>
      </c>
      <c r="K20" s="189" t="s">
        <v>32</v>
      </c>
      <c r="L20" s="189" t="s">
        <v>33</v>
      </c>
      <c r="M20" s="189" t="s">
        <v>34</v>
      </c>
      <c r="N20" s="189" t="s">
        <v>35</v>
      </c>
      <c r="O20" s="265" t="s">
        <v>36</v>
      </c>
      <c r="P20" s="189" t="s">
        <v>37</v>
      </c>
      <c r="Q20" s="189" t="s">
        <v>38</v>
      </c>
      <c r="R20" s="190" t="s">
        <v>39</v>
      </c>
      <c r="S20" s="189" t="s">
        <v>40</v>
      </c>
    </row>
    <row r="21" spans="1:22" ht="19.5" thickTop="1">
      <c r="A21" s="20"/>
      <c r="B21" s="20"/>
      <c r="C21" s="20"/>
      <c r="D21" s="16">
        <f>SUM(H21:S21)</f>
        <v>0</v>
      </c>
      <c r="E21" s="224" t="s">
        <v>186</v>
      </c>
      <c r="F21" s="180"/>
      <c r="G21" s="27">
        <f aca="true" t="shared" si="3" ref="G21:G32">SUM(Q21)</f>
        <v>0</v>
      </c>
      <c r="H21" s="18">
        <v>0</v>
      </c>
      <c r="I21" s="18"/>
      <c r="J21" s="18"/>
      <c r="K21" s="18"/>
      <c r="L21" s="18"/>
      <c r="M21" s="18"/>
      <c r="N21" s="18"/>
      <c r="O21" s="263"/>
      <c r="P21" s="18"/>
      <c r="Q21" s="18">
        <v>0</v>
      </c>
      <c r="R21" s="191"/>
      <c r="S21" s="18"/>
      <c r="U21" s="19">
        <f>SUM(G20-1996432.07)-2089.65</f>
        <v>2046491.9200000002</v>
      </c>
      <c r="V21" s="224" t="s">
        <v>186</v>
      </c>
    </row>
    <row r="22" spans="1:22" ht="18.75">
      <c r="A22" s="20"/>
      <c r="B22" s="20"/>
      <c r="C22" s="20"/>
      <c r="D22" s="16">
        <f>SUM(H22:S22)</f>
        <v>6596000</v>
      </c>
      <c r="E22" s="224" t="s">
        <v>201</v>
      </c>
      <c r="F22" s="180" t="s">
        <v>226</v>
      </c>
      <c r="G22" s="27">
        <f t="shared" si="3"/>
        <v>0</v>
      </c>
      <c r="H22" s="18">
        <v>0</v>
      </c>
      <c r="I22" s="18">
        <f>495000+1003126+79874</f>
        <v>1578000</v>
      </c>
      <c r="J22" s="18">
        <v>1247500</v>
      </c>
      <c r="K22" s="18">
        <f>1297192+996000</f>
        <v>2293192</v>
      </c>
      <c r="L22" s="18">
        <v>81308</v>
      </c>
      <c r="M22" s="18">
        <v>0</v>
      </c>
      <c r="N22" s="18">
        <v>400000</v>
      </c>
      <c r="O22" s="263">
        <v>996000</v>
      </c>
      <c r="P22" s="18">
        <v>0</v>
      </c>
      <c r="Q22" s="18">
        <v>0</v>
      </c>
      <c r="R22" s="18"/>
      <c r="S22" s="18"/>
      <c r="U22" s="19"/>
      <c r="V22" s="224" t="s">
        <v>201</v>
      </c>
    </row>
    <row r="23" spans="1:22" ht="18.75">
      <c r="A23" s="20"/>
      <c r="B23" s="20"/>
      <c r="C23" s="20"/>
      <c r="D23" s="16">
        <f>SUM(H23:S23)</f>
        <v>6677.25</v>
      </c>
      <c r="E23" s="224" t="s">
        <v>364</v>
      </c>
      <c r="F23" s="180" t="s">
        <v>310</v>
      </c>
      <c r="G23" s="27">
        <f t="shared" si="3"/>
        <v>0</v>
      </c>
      <c r="H23" s="18">
        <v>0</v>
      </c>
      <c r="I23" s="18">
        <v>0</v>
      </c>
      <c r="J23" s="18"/>
      <c r="K23" s="18">
        <v>0</v>
      </c>
      <c r="L23" s="18">
        <v>0</v>
      </c>
      <c r="M23" s="18">
        <v>6677.25</v>
      </c>
      <c r="N23" s="18" t="s">
        <v>299</v>
      </c>
      <c r="O23" s="263">
        <v>0</v>
      </c>
      <c r="P23" s="18">
        <v>0</v>
      </c>
      <c r="Q23" s="18">
        <v>0</v>
      </c>
      <c r="R23" s="18"/>
      <c r="S23" s="18"/>
      <c r="U23" s="19"/>
      <c r="V23" s="224" t="s">
        <v>364</v>
      </c>
    </row>
    <row r="24" spans="1:22" ht="18.75">
      <c r="A24" s="20"/>
      <c r="B24" s="20"/>
      <c r="C24" s="20"/>
      <c r="D24" s="16">
        <f>SUM(H24+I24+J24+K24+L24+M24+N24+O24+P24+Q24+R24+S24)</f>
        <v>391572</v>
      </c>
      <c r="E24" s="224" t="s">
        <v>327</v>
      </c>
      <c r="F24" s="180" t="s">
        <v>221</v>
      </c>
      <c r="G24" s="27">
        <f t="shared" si="3"/>
        <v>72408</v>
      </c>
      <c r="H24" s="18">
        <v>29640</v>
      </c>
      <c r="I24" s="18">
        <v>24780</v>
      </c>
      <c r="J24" s="18">
        <v>28826</v>
      </c>
      <c r="K24" s="18">
        <v>40126</v>
      </c>
      <c r="L24" s="18">
        <v>23278</v>
      </c>
      <c r="M24" s="18">
        <v>33350</v>
      </c>
      <c r="N24" s="18">
        <v>36400</v>
      </c>
      <c r="O24" s="263">
        <v>49536</v>
      </c>
      <c r="P24" s="18">
        <v>53228</v>
      </c>
      <c r="Q24" s="18">
        <v>72408</v>
      </c>
      <c r="R24" s="18"/>
      <c r="S24" s="18"/>
      <c r="V24" s="224" t="s">
        <v>327</v>
      </c>
    </row>
    <row r="25" spans="1:22" ht="18.75">
      <c r="A25" s="20"/>
      <c r="B25" s="20"/>
      <c r="C25" s="20"/>
      <c r="D25" s="16">
        <f>SUM(H25+I25+J25+K25+L25+M25+N25+O25+P25+Q25+R25+S25)</f>
        <v>85836.6</v>
      </c>
      <c r="E25" s="224" t="s">
        <v>331</v>
      </c>
      <c r="F25" s="180" t="s">
        <v>221</v>
      </c>
      <c r="G25" s="27">
        <f t="shared" si="3"/>
        <v>0</v>
      </c>
      <c r="H25" s="18">
        <v>45790.7</v>
      </c>
      <c r="I25" s="18">
        <v>40045.9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263">
        <v>0</v>
      </c>
      <c r="P25" s="18">
        <v>0</v>
      </c>
      <c r="Q25" s="18">
        <v>0</v>
      </c>
      <c r="R25" s="18"/>
      <c r="S25" s="18"/>
      <c r="V25" s="224" t="s">
        <v>331</v>
      </c>
    </row>
    <row r="26" spans="1:22" ht="18.75">
      <c r="A26" s="20"/>
      <c r="B26" s="20"/>
      <c r="C26" s="20"/>
      <c r="D26" s="16">
        <f>SUM(H26:S26)</f>
        <v>569214.06</v>
      </c>
      <c r="E26" s="224" t="s">
        <v>191</v>
      </c>
      <c r="F26" s="180" t="s">
        <v>255</v>
      </c>
      <c r="G26" s="27">
        <f t="shared" si="3"/>
        <v>96245</v>
      </c>
      <c r="H26" s="18" t="s">
        <v>299</v>
      </c>
      <c r="I26" s="18">
        <v>256000</v>
      </c>
      <c r="J26" s="18">
        <v>24000</v>
      </c>
      <c r="K26" s="18">
        <v>0</v>
      </c>
      <c r="L26" s="18">
        <f>7184.25+5620+6100+16000</f>
        <v>34904.25</v>
      </c>
      <c r="M26" s="18">
        <v>0</v>
      </c>
      <c r="N26" s="18">
        <f>6100+3900+18800</f>
        <v>28800</v>
      </c>
      <c r="O26" s="263">
        <v>123164.81</v>
      </c>
      <c r="P26" s="18">
        <v>6100</v>
      </c>
      <c r="Q26" s="18">
        <v>96245</v>
      </c>
      <c r="R26" s="18"/>
      <c r="S26" s="18"/>
      <c r="V26" s="224" t="s">
        <v>191</v>
      </c>
    </row>
    <row r="27" spans="1:22" ht="18.75">
      <c r="A27" s="20"/>
      <c r="B27" s="20"/>
      <c r="C27" s="20"/>
      <c r="D27" s="16">
        <f>SUM(H27:S27)</f>
        <v>0</v>
      </c>
      <c r="E27" s="224" t="s">
        <v>214</v>
      </c>
      <c r="F27" s="180" t="s">
        <v>225</v>
      </c>
      <c r="G27" s="27">
        <f t="shared" si="3"/>
        <v>0</v>
      </c>
      <c r="H27" s="18">
        <v>0</v>
      </c>
      <c r="I27" s="18"/>
      <c r="J27" s="18"/>
      <c r="K27" s="18">
        <v>0</v>
      </c>
      <c r="L27" s="18"/>
      <c r="M27" s="18">
        <v>0</v>
      </c>
      <c r="N27" s="18">
        <v>0</v>
      </c>
      <c r="O27" s="263">
        <v>0</v>
      </c>
      <c r="P27" s="18">
        <v>0</v>
      </c>
      <c r="Q27" s="18">
        <v>0</v>
      </c>
      <c r="R27" s="18"/>
      <c r="S27" s="18"/>
      <c r="V27" s="224" t="s">
        <v>214</v>
      </c>
    </row>
    <row r="28" spans="1:22" ht="18.75">
      <c r="A28" s="20"/>
      <c r="B28" s="20"/>
      <c r="C28" s="20"/>
      <c r="D28" s="16">
        <f>SUM(H28+I28+J28+K28+L28+M28+N28+O28+P28+Q28+R28+S28)</f>
        <v>586698.1300000001</v>
      </c>
      <c r="E28" s="224" t="s">
        <v>343</v>
      </c>
      <c r="F28" s="180" t="s">
        <v>328</v>
      </c>
      <c r="G28" s="27">
        <f t="shared" si="3"/>
        <v>13977.77</v>
      </c>
      <c r="H28" s="18">
        <v>15382.79</v>
      </c>
      <c r="I28" s="18">
        <v>77274.5</v>
      </c>
      <c r="J28" s="18">
        <v>87985.99</v>
      </c>
      <c r="K28" s="18">
        <v>61649.43</v>
      </c>
      <c r="L28" s="18">
        <v>98360.14</v>
      </c>
      <c r="M28" s="18">
        <v>54523.53</v>
      </c>
      <c r="N28" s="18">
        <v>95638.48</v>
      </c>
      <c r="O28" s="263">
        <f>38307.94+430</f>
        <v>38737.94</v>
      </c>
      <c r="P28" s="18">
        <v>43167.56</v>
      </c>
      <c r="Q28" s="18">
        <v>13977.77</v>
      </c>
      <c r="R28" s="18"/>
      <c r="S28" s="18"/>
      <c r="V28" s="224" t="s">
        <v>343</v>
      </c>
    </row>
    <row r="29" spans="1:22" ht="18.75">
      <c r="A29" s="20"/>
      <c r="B29" s="20"/>
      <c r="C29" s="20"/>
      <c r="D29" s="16">
        <f>SUM(H29+I29+J29+K29+L29+M29+N29+O29+P29+Q29+R29+S29)</f>
        <v>49582</v>
      </c>
      <c r="E29" s="224" t="s">
        <v>386</v>
      </c>
      <c r="F29" s="180" t="s">
        <v>387</v>
      </c>
      <c r="G29" s="27">
        <f t="shared" si="3"/>
        <v>0</v>
      </c>
      <c r="H29" s="18"/>
      <c r="I29" s="18"/>
      <c r="J29" s="18">
        <v>13728</v>
      </c>
      <c r="K29" s="18">
        <v>35854</v>
      </c>
      <c r="L29" s="18">
        <v>0</v>
      </c>
      <c r="M29" s="18">
        <v>0</v>
      </c>
      <c r="N29" s="18">
        <v>0</v>
      </c>
      <c r="O29" s="263">
        <v>0</v>
      </c>
      <c r="P29" s="18">
        <v>0</v>
      </c>
      <c r="Q29" s="18"/>
      <c r="R29" s="18"/>
      <c r="S29" s="18"/>
      <c r="V29" s="224"/>
    </row>
    <row r="30" spans="1:22" ht="18.75">
      <c r="A30" s="20"/>
      <c r="B30" s="20"/>
      <c r="C30" s="20"/>
      <c r="D30" s="16">
        <f>SUM(H30+I30+J30+K30+L30+M30+N30+O30+P30+Q30+R30+S30)</f>
        <v>27783.129999999997</v>
      </c>
      <c r="E30" s="224" t="s">
        <v>48</v>
      </c>
      <c r="F30" s="180" t="s">
        <v>220</v>
      </c>
      <c r="G30" s="27">
        <f t="shared" si="3"/>
        <v>1666.67</v>
      </c>
      <c r="H30" s="18">
        <v>1000</v>
      </c>
      <c r="I30" s="18">
        <v>1840</v>
      </c>
      <c r="J30" s="18">
        <v>1000</v>
      </c>
      <c r="K30" s="18">
        <v>1000</v>
      </c>
      <c r="L30" s="18">
        <v>17276.46</v>
      </c>
      <c r="M30" s="18">
        <v>1000</v>
      </c>
      <c r="N30" s="18">
        <v>1000</v>
      </c>
      <c r="O30" s="263">
        <v>1000</v>
      </c>
      <c r="P30" s="18">
        <v>1000</v>
      </c>
      <c r="Q30" s="18">
        <f>1000+666.67</f>
        <v>1666.67</v>
      </c>
      <c r="R30" s="18"/>
      <c r="S30" s="18"/>
      <c r="V30" s="224" t="s">
        <v>48</v>
      </c>
    </row>
    <row r="31" spans="1:22" ht="18.75">
      <c r="A31" s="20"/>
      <c r="B31" s="20"/>
      <c r="C31" s="20"/>
      <c r="D31" s="16">
        <f>SUM(H31+I31+J31+K31+L31+M31+N31+O31+P31+Q31+R31+S31)</f>
        <v>529.44</v>
      </c>
      <c r="E31" s="224" t="s">
        <v>184</v>
      </c>
      <c r="F31" s="180" t="s">
        <v>238</v>
      </c>
      <c r="G31" s="27">
        <f t="shared" si="3"/>
        <v>0</v>
      </c>
      <c r="H31" s="18"/>
      <c r="I31" s="18"/>
      <c r="J31" s="18"/>
      <c r="K31" s="18"/>
      <c r="L31" s="18">
        <v>529.44</v>
      </c>
      <c r="M31" s="18">
        <v>0</v>
      </c>
      <c r="N31" s="18">
        <v>0</v>
      </c>
      <c r="O31" s="263">
        <v>0</v>
      </c>
      <c r="P31" s="18">
        <v>0</v>
      </c>
      <c r="Q31" s="18"/>
      <c r="R31" s="18"/>
      <c r="S31" s="18"/>
      <c r="V31" s="179"/>
    </row>
    <row r="32" spans="1:22" ht="18.75">
      <c r="A32" s="20"/>
      <c r="B32" s="20"/>
      <c r="C32" s="20"/>
      <c r="D32" s="16"/>
      <c r="E32" s="224"/>
      <c r="F32" s="180"/>
      <c r="G32" s="27">
        <f t="shared" si="3"/>
        <v>0</v>
      </c>
      <c r="H32" s="18"/>
      <c r="I32" s="18"/>
      <c r="J32" s="18"/>
      <c r="K32" s="18"/>
      <c r="L32" s="18"/>
      <c r="M32" s="18"/>
      <c r="N32" s="18"/>
      <c r="O32" s="263"/>
      <c r="P32" s="18"/>
      <c r="Q32" s="18"/>
      <c r="R32" s="18"/>
      <c r="S32" s="18"/>
      <c r="V32" s="179" t="s">
        <v>210</v>
      </c>
    </row>
    <row r="33" spans="1:19" ht="18.75">
      <c r="A33" s="20"/>
      <c r="B33" s="20"/>
      <c r="C33" s="20"/>
      <c r="D33" s="22">
        <f>SUM(D21:D32)</f>
        <v>8313892.61</v>
      </c>
      <c r="E33" s="7"/>
      <c r="F33" s="35"/>
      <c r="G33" s="295">
        <f>SUM(G21:G32)</f>
        <v>184297.44</v>
      </c>
      <c r="H33" s="18"/>
      <c r="I33" s="18"/>
      <c r="J33" s="18"/>
      <c r="K33" s="18"/>
      <c r="L33" s="18"/>
      <c r="M33" s="18"/>
      <c r="N33" s="18"/>
      <c r="O33" s="263"/>
      <c r="P33" s="18"/>
      <c r="Q33" s="18"/>
      <c r="R33" s="192"/>
      <c r="S33" s="18"/>
    </row>
    <row r="34" spans="1:21" ht="18.75">
      <c r="A34" s="20"/>
      <c r="B34" s="20"/>
      <c r="C34" s="20"/>
      <c r="D34" s="102">
        <f>SUM(D20+D33)</f>
        <v>40174032.22</v>
      </c>
      <c r="E34" s="221" t="s">
        <v>49</v>
      </c>
      <c r="F34" s="36"/>
      <c r="G34" s="111">
        <f>SUM(G20+G33)</f>
        <v>4229311.08</v>
      </c>
      <c r="I34" s="25">
        <f>SUM(G34-G20)</f>
        <v>184297.43999999994</v>
      </c>
      <c r="K34" s="25">
        <f>2390510.73-2385045.02</f>
        <v>5465.709999999963</v>
      </c>
      <c r="L34" s="25">
        <f>SUM(4703890.19-4707594.58)</f>
        <v>-3704.3899999996647</v>
      </c>
      <c r="M34" s="25">
        <f>G34-963731.82</f>
        <v>3265579.2600000002</v>
      </c>
      <c r="O34" s="261">
        <f>SUM(G34-1854059.49)</f>
        <v>2375251.59</v>
      </c>
      <c r="P34" s="25">
        <f>1234678.53-1234267.29</f>
        <v>411.2399999999907</v>
      </c>
      <c r="U34" s="19">
        <f>SUM(G34-2089058.65)</f>
        <v>2140252.43</v>
      </c>
    </row>
    <row r="35" spans="1:21" ht="18.75">
      <c r="A35" s="20"/>
      <c r="B35" s="20"/>
      <c r="C35" s="20"/>
      <c r="D35" s="24"/>
      <c r="E35" s="23"/>
      <c r="F35" s="36"/>
      <c r="G35" s="24"/>
      <c r="U35" s="19"/>
    </row>
    <row r="36" spans="1:21" ht="18.75">
      <c r="A36" s="20"/>
      <c r="B36" s="20"/>
      <c r="C36" s="20"/>
      <c r="D36" s="24"/>
      <c r="E36" s="23"/>
      <c r="F36" s="36"/>
      <c r="G36" s="24"/>
      <c r="U36" s="19"/>
    </row>
    <row r="37" spans="1:21" ht="18.75">
      <c r="A37" s="20"/>
      <c r="B37" s="20"/>
      <c r="C37" s="20"/>
      <c r="D37" s="24"/>
      <c r="E37" s="23"/>
      <c r="F37" s="36"/>
      <c r="G37" s="24"/>
      <c r="U37" s="19"/>
    </row>
    <row r="38" spans="1:21" ht="18.75">
      <c r="A38" s="20"/>
      <c r="B38" s="20"/>
      <c r="C38" s="20"/>
      <c r="D38" s="24"/>
      <c r="E38" s="23"/>
      <c r="F38" s="36"/>
      <c r="G38" s="24"/>
      <c r="U38" s="19"/>
    </row>
    <row r="39" spans="1:21" ht="18.75">
      <c r="A39" s="20"/>
      <c r="B39" s="20"/>
      <c r="C39" s="20"/>
      <c r="D39" s="24"/>
      <c r="E39" s="23"/>
      <c r="F39" s="36"/>
      <c r="G39" s="24"/>
      <c r="U39" s="19"/>
    </row>
    <row r="40" spans="1:21" ht="18.75">
      <c r="A40" s="20"/>
      <c r="B40" s="20"/>
      <c r="C40" s="20"/>
      <c r="D40" s="24"/>
      <c r="E40" s="23"/>
      <c r="F40" s="36"/>
      <c r="G40" s="112" t="s">
        <v>261</v>
      </c>
      <c r="U40" s="19"/>
    </row>
    <row r="41" spans="1:21" s="38" customFormat="1" ht="18.75">
      <c r="A41" s="448" t="s">
        <v>22</v>
      </c>
      <c r="B41" s="449"/>
      <c r="C41" s="449"/>
      <c r="D41" s="450"/>
      <c r="E41" s="37"/>
      <c r="F41" s="30"/>
      <c r="G41" s="8" t="s">
        <v>23</v>
      </c>
      <c r="H41" s="193"/>
      <c r="I41" s="193"/>
      <c r="J41" s="193"/>
      <c r="K41" s="193"/>
      <c r="L41" s="193"/>
      <c r="M41" s="193"/>
      <c r="N41" s="193"/>
      <c r="O41" s="261"/>
      <c r="P41" s="193"/>
      <c r="Q41" s="193"/>
      <c r="R41" s="53"/>
      <c r="S41" s="193"/>
      <c r="U41" s="39">
        <f>SUM(U34-22693)</f>
        <v>2117559.43</v>
      </c>
    </row>
    <row r="42" spans="1:19" s="38" customFormat="1" ht="18.75">
      <c r="A42" s="10" t="s">
        <v>24</v>
      </c>
      <c r="B42" s="10" t="s">
        <v>12</v>
      </c>
      <c r="C42" s="10" t="s">
        <v>17</v>
      </c>
      <c r="D42" s="10" t="s">
        <v>25</v>
      </c>
      <c r="E42" s="11" t="s">
        <v>19</v>
      </c>
      <c r="F42" s="31" t="s">
        <v>26</v>
      </c>
      <c r="G42" s="10" t="s">
        <v>25</v>
      </c>
      <c r="H42" s="189" t="s">
        <v>29</v>
      </c>
      <c r="I42" s="189" t="s">
        <v>30</v>
      </c>
      <c r="J42" s="189" t="s">
        <v>31</v>
      </c>
      <c r="K42" s="189" t="s">
        <v>32</v>
      </c>
      <c r="L42" s="189" t="s">
        <v>33</v>
      </c>
      <c r="M42" s="189" t="s">
        <v>34</v>
      </c>
      <c r="N42" s="189" t="s">
        <v>35</v>
      </c>
      <c r="O42" s="262" t="s">
        <v>36</v>
      </c>
      <c r="P42" s="189" t="s">
        <v>37</v>
      </c>
      <c r="Q42" s="189" t="s">
        <v>38</v>
      </c>
      <c r="R42" s="190" t="s">
        <v>39</v>
      </c>
      <c r="S42" s="189" t="s">
        <v>40</v>
      </c>
    </row>
    <row r="43" spans="1:21" s="38" customFormat="1" ht="18.75">
      <c r="A43" s="12" t="s">
        <v>27</v>
      </c>
      <c r="B43" s="12" t="s">
        <v>212</v>
      </c>
      <c r="C43" s="12" t="s">
        <v>197</v>
      </c>
      <c r="D43" s="12" t="s">
        <v>27</v>
      </c>
      <c r="E43" s="40"/>
      <c r="F43" s="32" t="s">
        <v>28</v>
      </c>
      <c r="G43" s="12" t="s">
        <v>27</v>
      </c>
      <c r="H43" s="193"/>
      <c r="I43" s="193"/>
      <c r="J43" s="193"/>
      <c r="K43" s="193"/>
      <c r="L43" s="193"/>
      <c r="M43" s="193"/>
      <c r="N43" s="193"/>
      <c r="O43" s="266"/>
      <c r="P43" s="193"/>
      <c r="Q43" s="193"/>
      <c r="R43" s="53"/>
      <c r="S43" s="193"/>
      <c r="U43" s="39">
        <f>SUM(U41-4068.41)</f>
        <v>2113491.02</v>
      </c>
    </row>
    <row r="44" spans="1:19" s="38" customFormat="1" ht="18" customHeight="1">
      <c r="A44" s="41"/>
      <c r="B44" s="41"/>
      <c r="C44" s="41"/>
      <c r="D44" s="41"/>
      <c r="E44" s="212" t="s">
        <v>50</v>
      </c>
      <c r="F44" s="33"/>
      <c r="G44" s="27">
        <f aca="true" t="shared" si="4" ref="G44:G73">SUM(Q44)</f>
        <v>0</v>
      </c>
      <c r="H44" s="193"/>
      <c r="I44" s="193" t="s">
        <v>51</v>
      </c>
      <c r="J44" s="193"/>
      <c r="K44" s="193"/>
      <c r="L44" s="193"/>
      <c r="M44" s="193"/>
      <c r="N44" s="193"/>
      <c r="O44" s="266"/>
      <c r="P44" s="193"/>
      <c r="Q44" s="193"/>
      <c r="R44" s="53"/>
      <c r="S44" s="193"/>
    </row>
    <row r="45" spans="1:22" s="377" customFormat="1" ht="18" customHeight="1">
      <c r="A45" s="107">
        <f>139086-5000-5000</f>
        <v>129086</v>
      </c>
      <c r="B45" s="107"/>
      <c r="C45" s="107">
        <f aca="true" t="shared" si="5" ref="C45:C51">SUM(D45)</f>
        <v>104391</v>
      </c>
      <c r="D45" s="107">
        <f aca="true" t="shared" si="6" ref="D45:D55">SUM(H45+I45+J45+K45+L45+M45+N45+O45+P45+Q45+R45+S45)</f>
        <v>104391</v>
      </c>
      <c r="E45" s="213" t="s">
        <v>318</v>
      </c>
      <c r="F45" s="34" t="s">
        <v>324</v>
      </c>
      <c r="G45" s="27">
        <f t="shared" si="4"/>
        <v>10202</v>
      </c>
      <c r="H45" s="375">
        <v>0</v>
      </c>
      <c r="I45" s="375">
        <v>10234</v>
      </c>
      <c r="J45" s="375">
        <v>21468</v>
      </c>
      <c r="K45" s="375"/>
      <c r="L45" s="375">
        <f>10734+10734</f>
        <v>21468</v>
      </c>
      <c r="M45" s="375">
        <v>10234</v>
      </c>
      <c r="N45" s="375">
        <v>10234</v>
      </c>
      <c r="O45" s="376">
        <v>10734</v>
      </c>
      <c r="P45" s="375">
        <v>9817</v>
      </c>
      <c r="Q45" s="375">
        <v>10202</v>
      </c>
      <c r="R45" s="375"/>
      <c r="S45" s="375"/>
      <c r="U45" s="377">
        <v>95476</v>
      </c>
      <c r="V45" s="378" t="s">
        <v>318</v>
      </c>
    </row>
    <row r="46" spans="1:22" s="38" customFormat="1" ht="18" customHeight="1">
      <c r="A46" s="107">
        <f>10000-900</f>
        <v>9100</v>
      </c>
      <c r="B46" s="107"/>
      <c r="C46" s="107">
        <f>SUM(D46)</f>
        <v>5057</v>
      </c>
      <c r="D46" s="107">
        <f>SUM(H46+I46+J46+K46+L46+M46+N46+O46+P46+Q46+R46+S46-43)</f>
        <v>5057</v>
      </c>
      <c r="E46" s="213" t="s">
        <v>388</v>
      </c>
      <c r="F46" s="34" t="s">
        <v>324</v>
      </c>
      <c r="G46" s="27">
        <f t="shared" si="4"/>
        <v>0</v>
      </c>
      <c r="H46" s="48"/>
      <c r="I46" s="48"/>
      <c r="J46" s="48"/>
      <c r="K46" s="48">
        <v>5100</v>
      </c>
      <c r="L46" s="48">
        <v>0</v>
      </c>
      <c r="M46" s="48">
        <v>0</v>
      </c>
      <c r="N46" s="48">
        <v>0</v>
      </c>
      <c r="O46" s="267">
        <v>0</v>
      </c>
      <c r="P46" s="48"/>
      <c r="Q46" s="48"/>
      <c r="R46" s="48"/>
      <c r="S46" s="48"/>
      <c r="V46" s="269"/>
    </row>
    <row r="47" spans="1:22" s="377" customFormat="1" ht="18" customHeight="1">
      <c r="A47" s="107">
        <f>5950000-100000-100000-89800-5000-90000</f>
        <v>5565200</v>
      </c>
      <c r="B47" s="107"/>
      <c r="C47" s="107">
        <f t="shared" si="5"/>
        <v>4608900</v>
      </c>
      <c r="D47" s="107">
        <f t="shared" si="6"/>
        <v>4608900</v>
      </c>
      <c r="E47" s="213" t="s">
        <v>369</v>
      </c>
      <c r="F47" s="34" t="s">
        <v>324</v>
      </c>
      <c r="G47" s="27">
        <f t="shared" si="4"/>
        <v>458800</v>
      </c>
      <c r="H47" s="375">
        <v>463800</v>
      </c>
      <c r="I47" s="375">
        <v>463100</v>
      </c>
      <c r="J47" s="375">
        <v>462000</v>
      </c>
      <c r="K47" s="375">
        <v>462400</v>
      </c>
      <c r="L47" s="375">
        <v>461300</v>
      </c>
      <c r="M47" s="375">
        <v>460900</v>
      </c>
      <c r="N47" s="375">
        <v>459000</v>
      </c>
      <c r="O47" s="376">
        <v>458900</v>
      </c>
      <c r="P47" s="375">
        <f>458700</f>
        <v>458700</v>
      </c>
      <c r="Q47" s="375">
        <v>458800</v>
      </c>
      <c r="R47" s="375"/>
      <c r="S47" s="375"/>
      <c r="U47" s="377">
        <v>4206400</v>
      </c>
      <c r="V47" s="378" t="s">
        <v>369</v>
      </c>
    </row>
    <row r="48" spans="1:22" s="377" customFormat="1" ht="18" customHeight="1">
      <c r="A48" s="107">
        <f>1294000-50000-50000-59000</f>
        <v>1135000</v>
      </c>
      <c r="B48" s="107"/>
      <c r="C48" s="107">
        <f t="shared" si="5"/>
        <v>921600</v>
      </c>
      <c r="D48" s="107">
        <f t="shared" si="6"/>
        <v>921600</v>
      </c>
      <c r="E48" s="213" t="s">
        <v>320</v>
      </c>
      <c r="F48" s="34" t="s">
        <v>324</v>
      </c>
      <c r="G48" s="27">
        <f t="shared" si="4"/>
        <v>96000</v>
      </c>
      <c r="H48" s="375">
        <v>88800</v>
      </c>
      <c r="I48" s="375">
        <v>88000</v>
      </c>
      <c r="J48" s="375">
        <v>89600</v>
      </c>
      <c r="K48" s="375">
        <v>90400</v>
      </c>
      <c r="L48" s="375">
        <v>91200</v>
      </c>
      <c r="M48" s="375">
        <v>92000</v>
      </c>
      <c r="N48" s="375">
        <v>94400</v>
      </c>
      <c r="O48" s="376">
        <v>96000</v>
      </c>
      <c r="P48" s="375">
        <f>61600+33600</f>
        <v>95200</v>
      </c>
      <c r="Q48" s="375">
        <v>96000</v>
      </c>
      <c r="R48" s="375"/>
      <c r="S48" s="375"/>
      <c r="U48" s="377">
        <v>841600</v>
      </c>
      <c r="V48" s="378" t="s">
        <v>320</v>
      </c>
    </row>
    <row r="49" spans="1:22" s="377" customFormat="1" ht="18" customHeight="1">
      <c r="A49" s="107">
        <f>30000-200-1000-4800-4000-1000-6000</f>
        <v>13000</v>
      </c>
      <c r="B49" s="107"/>
      <c r="C49" s="107">
        <f t="shared" si="5"/>
        <v>10000</v>
      </c>
      <c r="D49" s="107">
        <f t="shared" si="6"/>
        <v>10000</v>
      </c>
      <c r="E49" s="213" t="s">
        <v>319</v>
      </c>
      <c r="F49" s="34" t="s">
        <v>324</v>
      </c>
      <c r="G49" s="27">
        <f t="shared" si="4"/>
        <v>1000</v>
      </c>
      <c r="H49" s="375">
        <v>1000</v>
      </c>
      <c r="I49" s="375">
        <v>1000</v>
      </c>
      <c r="J49" s="375">
        <v>1000</v>
      </c>
      <c r="K49" s="375">
        <v>1000</v>
      </c>
      <c r="L49" s="375">
        <v>1000</v>
      </c>
      <c r="M49" s="375">
        <v>1000</v>
      </c>
      <c r="N49" s="375">
        <v>1000</v>
      </c>
      <c r="O49" s="376">
        <v>1000</v>
      </c>
      <c r="P49" s="375">
        <v>1000</v>
      </c>
      <c r="Q49" s="375">
        <v>1000</v>
      </c>
      <c r="R49" s="375"/>
      <c r="S49" s="375"/>
      <c r="U49" s="377">
        <v>10000</v>
      </c>
      <c r="V49" s="378" t="s">
        <v>319</v>
      </c>
    </row>
    <row r="50" spans="1:22" s="377" customFormat="1" ht="18" customHeight="1">
      <c r="A50" s="107">
        <f>300000-30000-10000-20000-5000-9000-50000-21000</f>
        <v>155000</v>
      </c>
      <c r="B50" s="107"/>
      <c r="C50" s="107">
        <f t="shared" si="5"/>
        <v>158750</v>
      </c>
      <c r="D50" s="107">
        <f>SUM(H50+I50+J50+K50+L50+M50+N50+O50+P50+Q50+R50+S50)</f>
        <v>158750</v>
      </c>
      <c r="E50" s="213" t="s">
        <v>317</v>
      </c>
      <c r="F50" s="34" t="s">
        <v>324</v>
      </c>
      <c r="G50" s="27">
        <f t="shared" si="4"/>
        <v>0</v>
      </c>
      <c r="H50" s="375"/>
      <c r="I50" s="375">
        <v>2660</v>
      </c>
      <c r="J50" s="375">
        <v>152880</v>
      </c>
      <c r="K50" s="375">
        <v>0</v>
      </c>
      <c r="L50" s="375">
        <v>1750</v>
      </c>
      <c r="M50" s="375">
        <v>1460</v>
      </c>
      <c r="N50" s="375">
        <v>0</v>
      </c>
      <c r="O50" s="376">
        <v>0</v>
      </c>
      <c r="P50" s="375"/>
      <c r="Q50" s="375">
        <v>0</v>
      </c>
      <c r="R50" s="375"/>
      <c r="S50" s="375"/>
      <c r="T50" s="447">
        <f>SUM(D48:D50)</f>
        <v>1090350</v>
      </c>
      <c r="U50" s="377">
        <v>236670</v>
      </c>
      <c r="V50" s="378" t="s">
        <v>317</v>
      </c>
    </row>
    <row r="51" spans="1:22" s="38" customFormat="1" ht="18" customHeight="1">
      <c r="A51" s="107">
        <f>30559+98000+50000+1300-30000-2400</f>
        <v>147459</v>
      </c>
      <c r="B51" s="107"/>
      <c r="C51" s="107">
        <f t="shared" si="5"/>
        <v>127391.41</v>
      </c>
      <c r="D51" s="107">
        <f t="shared" si="6"/>
        <v>127391.41</v>
      </c>
      <c r="E51" s="213" t="s">
        <v>316</v>
      </c>
      <c r="F51" s="34" t="s">
        <v>324</v>
      </c>
      <c r="G51" s="27">
        <f t="shared" si="4"/>
        <v>0</v>
      </c>
      <c r="H51" s="48"/>
      <c r="I51" s="48"/>
      <c r="J51" s="48">
        <v>127391.41</v>
      </c>
      <c r="K51" s="48">
        <v>0</v>
      </c>
      <c r="L51" s="48">
        <v>0</v>
      </c>
      <c r="M51" s="48">
        <v>0</v>
      </c>
      <c r="N51" s="48">
        <v>0</v>
      </c>
      <c r="O51" s="267">
        <v>0</v>
      </c>
      <c r="P51" s="48"/>
      <c r="Q51" s="48">
        <v>0</v>
      </c>
      <c r="R51" s="48"/>
      <c r="S51" s="48"/>
      <c r="U51" s="38">
        <v>118441.9</v>
      </c>
      <c r="V51" s="269" t="s">
        <v>316</v>
      </c>
    </row>
    <row r="52" spans="1:22" s="38" customFormat="1" ht="18" customHeight="1">
      <c r="A52" s="107">
        <v>358360</v>
      </c>
      <c r="B52" s="107"/>
      <c r="C52" s="107">
        <f>SUM(D52)</f>
        <v>358360</v>
      </c>
      <c r="D52" s="107">
        <f t="shared" si="6"/>
        <v>358360</v>
      </c>
      <c r="E52" s="214" t="s">
        <v>315</v>
      </c>
      <c r="F52" s="34" t="s">
        <v>324</v>
      </c>
      <c r="G52" s="27">
        <f>SUM(P52)</f>
        <v>0</v>
      </c>
      <c r="H52" s="48"/>
      <c r="I52" s="48"/>
      <c r="J52" s="48">
        <v>358360</v>
      </c>
      <c r="K52" s="48">
        <v>0</v>
      </c>
      <c r="L52" s="48">
        <v>0</v>
      </c>
      <c r="M52" s="48">
        <v>0</v>
      </c>
      <c r="N52" s="48">
        <v>0</v>
      </c>
      <c r="O52" s="267">
        <v>0</v>
      </c>
      <c r="P52" s="48"/>
      <c r="Q52" s="48">
        <v>0</v>
      </c>
      <c r="R52" s="48"/>
      <c r="S52" s="48"/>
      <c r="U52" s="38">
        <v>305640</v>
      </c>
      <c r="V52" s="270" t="s">
        <v>315</v>
      </c>
    </row>
    <row r="53" spans="1:22" s="38" customFormat="1" ht="18" customHeight="1">
      <c r="A53" s="107">
        <v>2624640</v>
      </c>
      <c r="B53" s="107"/>
      <c r="C53" s="107">
        <f aca="true" t="shared" si="7" ref="C53:C61">SUM(D53)</f>
        <v>2187200</v>
      </c>
      <c r="D53" s="107">
        <f t="shared" si="6"/>
        <v>2187200</v>
      </c>
      <c r="E53" s="214" t="s">
        <v>122</v>
      </c>
      <c r="F53" s="34" t="s">
        <v>228</v>
      </c>
      <c r="G53" s="27">
        <f t="shared" si="4"/>
        <v>218720</v>
      </c>
      <c r="H53" s="48">
        <v>218720</v>
      </c>
      <c r="I53" s="48">
        <v>218720</v>
      </c>
      <c r="J53" s="48">
        <v>218720</v>
      </c>
      <c r="K53" s="48">
        <v>218720</v>
      </c>
      <c r="L53" s="48">
        <v>218720</v>
      </c>
      <c r="M53" s="48">
        <v>218720</v>
      </c>
      <c r="N53" s="48">
        <v>218720</v>
      </c>
      <c r="O53" s="267">
        <v>218720</v>
      </c>
      <c r="P53" s="48">
        <v>218720</v>
      </c>
      <c r="Q53" s="48">
        <v>218720</v>
      </c>
      <c r="R53" s="48"/>
      <c r="S53" s="48"/>
      <c r="T53" s="38" t="s">
        <v>115</v>
      </c>
      <c r="U53" s="39">
        <f>SUM(U44:U52)</f>
        <v>5814227.9</v>
      </c>
      <c r="V53" s="270" t="s">
        <v>122</v>
      </c>
    </row>
    <row r="54" spans="1:22" s="38" customFormat="1" ht="18" customHeight="1">
      <c r="A54" s="107">
        <f>7932560-77900-20000-100000+10000-16000-56200-22000+20000-40000+40000+40000+51379+3360+5000-53000+53000+1000+6000+5000+5000+5000+5000-3200</f>
        <v>7793999</v>
      </c>
      <c r="B54" s="107">
        <v>7793999</v>
      </c>
      <c r="C54" s="107">
        <f t="shared" si="7"/>
        <v>6411317</v>
      </c>
      <c r="D54" s="107">
        <f>SUM(H54+I54+J54+K54+L54+M54+N54+O54+P54+Q54+R54+S54)</f>
        <v>6411317</v>
      </c>
      <c r="E54" s="213" t="s">
        <v>126</v>
      </c>
      <c r="F54" s="34" t="s">
        <v>229</v>
      </c>
      <c r="G54" s="27">
        <f t="shared" si="4"/>
        <v>642662</v>
      </c>
      <c r="H54" s="48">
        <f>370690+41920+208730</f>
        <v>621340</v>
      </c>
      <c r="I54" s="48">
        <v>639639</v>
      </c>
      <c r="J54" s="48">
        <f>386120+41920+218730</f>
        <v>646770</v>
      </c>
      <c r="K54" s="48">
        <v>646770</v>
      </c>
      <c r="L54" s="48">
        <v>646770</v>
      </c>
      <c r="M54" s="48">
        <v>636770</v>
      </c>
      <c r="N54" s="48">
        <v>643310</v>
      </c>
      <c r="O54" s="267">
        <f>391990+42590+218730</f>
        <v>653310</v>
      </c>
      <c r="P54" s="48">
        <v>633976</v>
      </c>
      <c r="Q54" s="48">
        <v>642662</v>
      </c>
      <c r="R54" s="48"/>
      <c r="S54" s="48"/>
      <c r="V54" s="269" t="s">
        <v>126</v>
      </c>
    </row>
    <row r="55" spans="1:22" s="377" customFormat="1" ht="18" customHeight="1">
      <c r="A55" s="107">
        <f>503500-15000-5800-5000-5000-20000+10000-2000</f>
        <v>460700</v>
      </c>
      <c r="B55" s="107"/>
      <c r="C55" s="107">
        <f t="shared" si="7"/>
        <v>263750</v>
      </c>
      <c r="D55" s="107">
        <f t="shared" si="6"/>
        <v>263750</v>
      </c>
      <c r="E55" s="213" t="s">
        <v>8</v>
      </c>
      <c r="F55" s="34" t="s">
        <v>230</v>
      </c>
      <c r="G55" s="27">
        <f t="shared" si="4"/>
        <v>17900</v>
      </c>
      <c r="H55" s="375">
        <v>0</v>
      </c>
      <c r="I55" s="375">
        <v>27900</v>
      </c>
      <c r="J55" s="375">
        <v>24760</v>
      </c>
      <c r="K55" s="375">
        <v>33080</v>
      </c>
      <c r="L55" s="375">
        <v>31370</v>
      </c>
      <c r="M55" s="375">
        <v>35080</v>
      </c>
      <c r="N55" s="375">
        <v>32700</v>
      </c>
      <c r="O55" s="376">
        <v>30300</v>
      </c>
      <c r="P55" s="375">
        <v>30660</v>
      </c>
      <c r="Q55" s="375">
        <v>17900</v>
      </c>
      <c r="R55" s="375"/>
      <c r="S55" s="375"/>
      <c r="V55" s="378" t="s">
        <v>8</v>
      </c>
    </row>
    <row r="56" spans="1:22" s="38" customFormat="1" ht="18" customHeight="1">
      <c r="A56" s="107">
        <f>7225850-11300+10000-200000+260000-20000-5000-20000+50000-100000-30000-20000+200000-30000+40000-20000+20000-21000+89000+32000-30000-30000+210000-20000-13000-20000+131200+20000-25400-20000-30000-20000-8000+200000+150000-20000-6800-21400+18000-5000-30000-30000-10000+249800+30000-90000-8000+8000-16000+16000-1000+1000-25000+25000+30000+10000+20000+20000-10600+10600-10000-15000+15000+5000-18900-6400-6000-2900-2200-20000-20000+9000+50000+10000-100000+100000-5000-5000-13000-5000-2800+4800+4000+14000+10000+56200-40000-51379-3360+5000-10000-10000+5000-5000+5000+5000-2000-5200-5000-5000-5000+10000+21000-5000</f>
        <v>8058811</v>
      </c>
      <c r="B56" s="107"/>
      <c r="C56" s="107">
        <f>SUM(D56)</f>
        <v>7098446.52</v>
      </c>
      <c r="D56" s="107">
        <f aca="true" t="shared" si="8" ref="D56:D62">SUM(H56+I56+J56+K56+L56+M56+N56+O56+P56+Q56+R56+S56)</f>
        <v>7098446.52</v>
      </c>
      <c r="E56" s="215" t="s">
        <v>9</v>
      </c>
      <c r="F56" s="34" t="s">
        <v>231</v>
      </c>
      <c r="G56" s="27">
        <f t="shared" si="4"/>
        <v>361702.4</v>
      </c>
      <c r="H56" s="48">
        <v>63604.5</v>
      </c>
      <c r="I56" s="48">
        <v>1252409.34</v>
      </c>
      <c r="J56" s="48">
        <f>1125151.26+24000</f>
        <v>1149151.26</v>
      </c>
      <c r="K56" s="48">
        <v>585830.98</v>
      </c>
      <c r="L56" s="48">
        <v>676785.49</v>
      </c>
      <c r="M56" s="48">
        <v>562471.8</v>
      </c>
      <c r="N56" s="48">
        <v>1088693.06</v>
      </c>
      <c r="O56" s="267">
        <v>727922.47</v>
      </c>
      <c r="P56" s="48">
        <v>629875.22</v>
      </c>
      <c r="Q56" s="48">
        <v>361702.4</v>
      </c>
      <c r="R56" s="48"/>
      <c r="S56" s="48"/>
      <c r="V56" s="446" t="s">
        <v>9</v>
      </c>
    </row>
    <row r="57" spans="1:22" s="38" customFormat="1" ht="18" customHeight="1">
      <c r="A57" s="107">
        <f>2579095-30000-5000-20000-20000-10000-20000-20000-5000-5000-20000-25000-20000-2000-50000+30200-30000-20000-10000-3000-14000-4000-17000-5000-10000-10000+22000-10000+2000+10000-30000+30000-10000+10000-10000+10000+10000-15000-5000-5000+5000-1400-10000-3400-1000+5200+9000</f>
        <v>2246695</v>
      </c>
      <c r="B57" s="107"/>
      <c r="C57" s="107">
        <f t="shared" si="7"/>
        <v>1300447.0599999998</v>
      </c>
      <c r="D57" s="107">
        <f t="shared" si="8"/>
        <v>1300447.0599999998</v>
      </c>
      <c r="E57" s="215" t="s">
        <v>10</v>
      </c>
      <c r="F57" s="34" t="s">
        <v>232</v>
      </c>
      <c r="G57" s="27">
        <f t="shared" si="4"/>
        <v>134250.4</v>
      </c>
      <c r="H57" s="48">
        <v>0</v>
      </c>
      <c r="I57" s="48">
        <v>59343.76</v>
      </c>
      <c r="J57" s="48">
        <v>116222.2</v>
      </c>
      <c r="K57" s="48">
        <v>19237</v>
      </c>
      <c r="L57" s="48">
        <v>217740.3</v>
      </c>
      <c r="M57" s="48">
        <v>251367.2</v>
      </c>
      <c r="N57" s="48">
        <v>69855</v>
      </c>
      <c r="O57" s="267">
        <v>323134.7</v>
      </c>
      <c r="P57" s="48">
        <v>109296.5</v>
      </c>
      <c r="Q57" s="48">
        <v>134250.4</v>
      </c>
      <c r="R57" s="48"/>
      <c r="S57" s="48"/>
      <c r="V57" s="446" t="s">
        <v>10</v>
      </c>
    </row>
    <row r="58" spans="1:22" s="38" customFormat="1" ht="18" customHeight="1">
      <c r="A58" s="107">
        <f>766000-20000+5000+18900+6400+6000+2200+2900+20000+20000+16000+5000+5000+5000+13000+3000+14000+4000+17000+5000+2800+5000+10000+200+1000-14000+90000+10000+15000+1400+2000+10000+3400+1000+3200+900+59000-4100+4100-9000</f>
        <v>1106300</v>
      </c>
      <c r="B58" s="107"/>
      <c r="C58" s="107">
        <f t="shared" si="7"/>
        <v>948348.85</v>
      </c>
      <c r="D58" s="107">
        <f t="shared" si="8"/>
        <v>948348.85</v>
      </c>
      <c r="E58" s="215" t="s">
        <v>11</v>
      </c>
      <c r="F58" s="34" t="s">
        <v>233</v>
      </c>
      <c r="G58" s="27">
        <f t="shared" si="4"/>
        <v>99528.29</v>
      </c>
      <c r="H58" s="48">
        <v>88541.58</v>
      </c>
      <c r="I58" s="48">
        <v>81986.02</v>
      </c>
      <c r="J58" s="48">
        <v>81780.95</v>
      </c>
      <c r="K58" s="48">
        <v>82618.67</v>
      </c>
      <c r="L58" s="48">
        <v>104140.72</v>
      </c>
      <c r="M58" s="48">
        <v>88987.29</v>
      </c>
      <c r="N58" s="48">
        <v>97633.04</v>
      </c>
      <c r="O58" s="267">
        <v>113142.68</v>
      </c>
      <c r="P58" s="48">
        <v>109989.61</v>
      </c>
      <c r="Q58" s="48">
        <v>99528.29</v>
      </c>
      <c r="R58" s="48"/>
      <c r="S58" s="48"/>
      <c r="V58" s="446" t="s">
        <v>11</v>
      </c>
    </row>
    <row r="59" spans="1:22" s="377" customFormat="1" ht="18" customHeight="1">
      <c r="A59" s="107">
        <f>384000+100000+97000+25400-10000</f>
        <v>596400</v>
      </c>
      <c r="B59" s="107">
        <v>30700</v>
      </c>
      <c r="C59" s="107">
        <f>SUM(D59)</f>
        <v>536490.76</v>
      </c>
      <c r="D59" s="107">
        <f t="shared" si="8"/>
        <v>536490.76</v>
      </c>
      <c r="E59" s="216" t="s">
        <v>13</v>
      </c>
      <c r="F59" s="34" t="s">
        <v>234</v>
      </c>
      <c r="G59" s="27">
        <f t="shared" si="4"/>
        <v>58174</v>
      </c>
      <c r="H59" s="375">
        <v>0</v>
      </c>
      <c r="I59" s="375">
        <v>52000</v>
      </c>
      <c r="J59" s="375">
        <v>21200</v>
      </c>
      <c r="K59" s="375">
        <v>51337.33</v>
      </c>
      <c r="L59" s="375">
        <v>111730</v>
      </c>
      <c r="M59" s="375">
        <v>6131.1</v>
      </c>
      <c r="N59" s="375">
        <v>22700</v>
      </c>
      <c r="O59" s="376">
        <v>191950</v>
      </c>
      <c r="P59" s="375">
        <v>21268.33</v>
      </c>
      <c r="Q59" s="375">
        <v>58174</v>
      </c>
      <c r="R59" s="375"/>
      <c r="S59" s="375"/>
      <c r="V59" s="379" t="s">
        <v>13</v>
      </c>
    </row>
    <row r="60" spans="1:22" s="38" customFormat="1" ht="18" customHeight="1">
      <c r="A60" s="107">
        <f>520000-100000-97000</f>
        <v>323000</v>
      </c>
      <c r="B60" s="107"/>
      <c r="C60" s="107">
        <f>SUM(D60)</f>
        <v>299000</v>
      </c>
      <c r="D60" s="107">
        <f t="shared" si="8"/>
        <v>299000</v>
      </c>
      <c r="E60" s="216" t="s">
        <v>14</v>
      </c>
      <c r="F60" s="34" t="s">
        <v>235</v>
      </c>
      <c r="G60" s="27">
        <f t="shared" si="4"/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/>
      <c r="N60" s="48">
        <v>0</v>
      </c>
      <c r="O60" s="267">
        <v>299000</v>
      </c>
      <c r="P60" s="48">
        <v>0</v>
      </c>
      <c r="Q60" s="48">
        <v>0</v>
      </c>
      <c r="R60" s="48">
        <v>0</v>
      </c>
      <c r="S60" s="48"/>
      <c r="V60" s="216" t="s">
        <v>14</v>
      </c>
    </row>
    <row r="61" spans="1:22" s="38" customFormat="1" ht="18" customHeight="1">
      <c r="A61" s="107">
        <f>25000-25000</f>
        <v>0</v>
      </c>
      <c r="B61" s="107"/>
      <c r="C61" s="107">
        <f t="shared" si="7"/>
        <v>0</v>
      </c>
      <c r="D61" s="107">
        <f t="shared" si="8"/>
        <v>0</v>
      </c>
      <c r="E61" s="216" t="s">
        <v>15</v>
      </c>
      <c r="F61" s="34" t="s">
        <v>325</v>
      </c>
      <c r="G61" s="27">
        <f t="shared" si="4"/>
        <v>0</v>
      </c>
      <c r="H61" s="48">
        <v>0</v>
      </c>
      <c r="I61" s="48">
        <v>0</v>
      </c>
      <c r="J61" s="48"/>
      <c r="K61" s="48">
        <v>0</v>
      </c>
      <c r="L61" s="48">
        <v>0</v>
      </c>
      <c r="M61" s="48">
        <v>0</v>
      </c>
      <c r="N61" s="48">
        <v>0</v>
      </c>
      <c r="O61" s="267">
        <v>0</v>
      </c>
      <c r="P61" s="48">
        <v>0</v>
      </c>
      <c r="Q61" s="48">
        <v>0</v>
      </c>
      <c r="R61" s="48">
        <v>0</v>
      </c>
      <c r="S61" s="48">
        <v>0</v>
      </c>
      <c r="V61" s="216" t="s">
        <v>15</v>
      </c>
    </row>
    <row r="62" spans="1:22" s="38" customFormat="1" ht="18" customHeight="1">
      <c r="A62" s="107">
        <f>2107850+97900-10000</f>
        <v>2195750</v>
      </c>
      <c r="B62" s="107">
        <v>0</v>
      </c>
      <c r="C62" s="107">
        <f>SUM(D62)</f>
        <v>1529920</v>
      </c>
      <c r="D62" s="107">
        <f t="shared" si="8"/>
        <v>1529920</v>
      </c>
      <c r="E62" s="216" t="s">
        <v>12</v>
      </c>
      <c r="F62" s="34" t="s">
        <v>265</v>
      </c>
      <c r="G62" s="27">
        <f t="shared" si="4"/>
        <v>84320</v>
      </c>
      <c r="H62" s="48">
        <v>0</v>
      </c>
      <c r="I62" s="48">
        <v>450500</v>
      </c>
      <c r="J62" s="48">
        <v>0</v>
      </c>
      <c r="K62" s="48">
        <v>0</v>
      </c>
      <c r="L62" s="48">
        <v>630620</v>
      </c>
      <c r="M62" s="48">
        <v>0</v>
      </c>
      <c r="N62" s="48">
        <v>0</v>
      </c>
      <c r="O62" s="267">
        <v>364480</v>
      </c>
      <c r="P62" s="48"/>
      <c r="Q62" s="48">
        <v>84320</v>
      </c>
      <c r="R62" s="48"/>
      <c r="S62" s="48"/>
      <c r="V62" s="216" t="s">
        <v>12</v>
      </c>
    </row>
    <row r="63" spans="1:22" s="38" customFormat="1" ht="18" customHeight="1">
      <c r="A63" s="335"/>
      <c r="B63" s="352">
        <v>4630000</v>
      </c>
      <c r="C63" s="237">
        <f>SUM(H63:S63)-30700</f>
        <v>4630000</v>
      </c>
      <c r="D63" s="237">
        <v>0</v>
      </c>
      <c r="E63" s="216" t="s">
        <v>213</v>
      </c>
      <c r="F63" s="34" t="s">
        <v>326</v>
      </c>
      <c r="G63" s="27">
        <f t="shared" si="4"/>
        <v>0</v>
      </c>
      <c r="H63" s="48">
        <v>0</v>
      </c>
      <c r="I63" s="48"/>
      <c r="J63" s="48">
        <v>0</v>
      </c>
      <c r="K63" s="48">
        <v>30700</v>
      </c>
      <c r="L63" s="48"/>
      <c r="M63" s="48"/>
      <c r="N63" s="48">
        <v>4630000</v>
      </c>
      <c r="O63" s="267">
        <v>0</v>
      </c>
      <c r="P63" s="48"/>
      <c r="Q63" s="48">
        <v>0</v>
      </c>
      <c r="R63" s="238"/>
      <c r="S63" s="48"/>
      <c r="V63" s="216" t="s">
        <v>213</v>
      </c>
    </row>
    <row r="64" spans="1:22" s="38" customFormat="1" ht="18" customHeight="1" thickBot="1">
      <c r="A64" s="184">
        <f>SUM(A44:A62)</f>
        <v>32918500</v>
      </c>
      <c r="B64" s="353">
        <f>SUM(B59:B63)</f>
        <v>4660700</v>
      </c>
      <c r="C64" s="108">
        <f>SUM(C45:C63)+30700-43</f>
        <v>31530026.6</v>
      </c>
      <c r="D64" s="109">
        <f>SUM(D45:D63)</f>
        <v>26869369.6</v>
      </c>
      <c r="E64" s="217"/>
      <c r="F64" s="34"/>
      <c r="G64" s="110">
        <f>SUM(G45:G63)</f>
        <v>2183259.09</v>
      </c>
      <c r="H64" s="189" t="s">
        <v>29</v>
      </c>
      <c r="I64" s="189" t="s">
        <v>30</v>
      </c>
      <c r="J64" s="189" t="s">
        <v>31</v>
      </c>
      <c r="K64" s="189" t="s">
        <v>32</v>
      </c>
      <c r="L64" s="189" t="s">
        <v>33</v>
      </c>
      <c r="M64" s="189" t="s">
        <v>34</v>
      </c>
      <c r="N64" s="189" t="s">
        <v>35</v>
      </c>
      <c r="O64" s="262" t="s">
        <v>36</v>
      </c>
      <c r="P64" s="189" t="s">
        <v>37</v>
      </c>
      <c r="Q64" s="189" t="s">
        <v>38</v>
      </c>
      <c r="R64" s="190" t="s">
        <v>39</v>
      </c>
      <c r="S64" s="189" t="s">
        <v>40</v>
      </c>
      <c r="V64" s="43"/>
    </row>
    <row r="65" spans="1:22" s="38" customFormat="1" ht="18" customHeight="1" thickBot="1" thickTop="1">
      <c r="A65" s="44"/>
      <c r="B65" s="45">
        <f>SUM(B20-B64)</f>
        <v>0</v>
      </c>
      <c r="C65" s="45">
        <f>SUM(C20-C63)-30700</f>
        <v>32918500</v>
      </c>
      <c r="D65" s="42">
        <f aca="true" t="shared" si="9" ref="D65:D72">SUM(H65+I65+J65+K65+L65+M65+N65+O65+P65+Q65+R65+S65)</f>
        <v>550914.06</v>
      </c>
      <c r="E65" s="216" t="s">
        <v>321</v>
      </c>
      <c r="F65" s="34" t="s">
        <v>222</v>
      </c>
      <c r="G65" s="27">
        <f t="shared" si="4"/>
        <v>0</v>
      </c>
      <c r="H65" s="48">
        <v>256000</v>
      </c>
      <c r="I65" s="48">
        <v>24000</v>
      </c>
      <c r="J65" s="48">
        <v>0</v>
      </c>
      <c r="K65" s="48">
        <v>12804.25</v>
      </c>
      <c r="L65" s="48">
        <v>16000</v>
      </c>
      <c r="M65" s="48">
        <v>3900</v>
      </c>
      <c r="N65" s="48">
        <f>108750+18800+5172+9242.81</f>
        <v>141964.81</v>
      </c>
      <c r="O65" s="267"/>
      <c r="P65" s="48">
        <v>96245</v>
      </c>
      <c r="Q65" s="48">
        <v>0</v>
      </c>
      <c r="R65" s="48"/>
      <c r="S65" s="48"/>
      <c r="V65" s="216" t="s">
        <v>321</v>
      </c>
    </row>
    <row r="66" spans="1:22" s="38" customFormat="1" ht="18" customHeight="1" thickTop="1">
      <c r="A66" s="44"/>
      <c r="B66" s="229"/>
      <c r="C66" s="229"/>
      <c r="D66" s="42">
        <f>SUM(H66+I66+J66+K66+L66+M66+N66+O66+P66+Q66+R66+S66)</f>
        <v>18300</v>
      </c>
      <c r="E66" s="216" t="s">
        <v>400</v>
      </c>
      <c r="F66" s="34" t="s">
        <v>222</v>
      </c>
      <c r="G66" s="27">
        <f t="shared" si="4"/>
        <v>0</v>
      </c>
      <c r="H66" s="48"/>
      <c r="I66" s="48"/>
      <c r="J66" s="48"/>
      <c r="K66" s="48">
        <v>6100</v>
      </c>
      <c r="L66" s="48">
        <v>0</v>
      </c>
      <c r="M66" s="48">
        <v>6100</v>
      </c>
      <c r="N66" s="48">
        <v>0</v>
      </c>
      <c r="O66" s="267">
        <v>6100</v>
      </c>
      <c r="P66" s="48">
        <v>0</v>
      </c>
      <c r="Q66" s="48">
        <v>0</v>
      </c>
      <c r="R66" s="48"/>
      <c r="S66" s="48"/>
      <c r="V66" s="216"/>
    </row>
    <row r="67" spans="1:22" s="38" customFormat="1" ht="18" customHeight="1">
      <c r="A67" s="44"/>
      <c r="B67" s="44"/>
      <c r="C67" s="44"/>
      <c r="D67" s="42">
        <f t="shared" si="9"/>
        <v>531550</v>
      </c>
      <c r="E67" s="218" t="s">
        <v>367</v>
      </c>
      <c r="F67" s="46" t="s">
        <v>221</v>
      </c>
      <c r="G67" s="27">
        <f t="shared" si="4"/>
        <v>102276</v>
      </c>
      <c r="H67" s="194"/>
      <c r="I67" s="48">
        <v>56412</v>
      </c>
      <c r="J67" s="48">
        <v>73934</v>
      </c>
      <c r="K67" s="48">
        <v>0</v>
      </c>
      <c r="L67" s="48">
        <v>74168</v>
      </c>
      <c r="M67" s="48">
        <v>0</v>
      </c>
      <c r="N67" s="48">
        <v>93524</v>
      </c>
      <c r="O67" s="267">
        <v>0</v>
      </c>
      <c r="P67" s="48">
        <v>131236</v>
      </c>
      <c r="Q67" s="48">
        <v>102276</v>
      </c>
      <c r="R67" s="48"/>
      <c r="S67" s="48"/>
      <c r="V67" s="218" t="s">
        <v>367</v>
      </c>
    </row>
    <row r="68" spans="1:22" s="38" customFormat="1" ht="18" customHeight="1">
      <c r="A68" s="44"/>
      <c r="B68" s="44"/>
      <c r="C68" s="44"/>
      <c r="D68" s="42">
        <f t="shared" si="9"/>
        <v>273396.21</v>
      </c>
      <c r="E68" s="216" t="s">
        <v>358</v>
      </c>
      <c r="F68" s="34" t="s">
        <v>224</v>
      </c>
      <c r="G68" s="27">
        <f t="shared" si="4"/>
        <v>0</v>
      </c>
      <c r="H68" s="194"/>
      <c r="I68" s="48">
        <v>0</v>
      </c>
      <c r="J68" s="48">
        <v>273396.21</v>
      </c>
      <c r="K68" s="48">
        <v>0</v>
      </c>
      <c r="L68" s="48">
        <v>0</v>
      </c>
      <c r="M68" s="48">
        <v>0</v>
      </c>
      <c r="N68" s="48">
        <v>0</v>
      </c>
      <c r="O68" s="267">
        <v>0</v>
      </c>
      <c r="P68" s="48"/>
      <c r="Q68" s="48">
        <v>0</v>
      </c>
      <c r="R68" s="48"/>
      <c r="S68" s="48"/>
      <c r="V68" s="216" t="s">
        <v>358</v>
      </c>
    </row>
    <row r="69" spans="1:22" s="38" customFormat="1" ht="18" customHeight="1">
      <c r="A69" s="44"/>
      <c r="B69" s="44"/>
      <c r="C69" s="44"/>
      <c r="D69" s="42">
        <f>SUM(H69+I69+J69+K69+L69+M69+N69+O69+P69+Q69+R69+S69)</f>
        <v>49582</v>
      </c>
      <c r="E69" s="216" t="s">
        <v>386</v>
      </c>
      <c r="F69" s="34" t="s">
        <v>387</v>
      </c>
      <c r="G69" s="27">
        <f t="shared" si="4"/>
        <v>0</v>
      </c>
      <c r="H69" s="194"/>
      <c r="I69" s="48"/>
      <c r="J69" s="48">
        <v>13728</v>
      </c>
      <c r="K69" s="48">
        <v>35854</v>
      </c>
      <c r="L69" s="48">
        <v>0</v>
      </c>
      <c r="M69" s="48">
        <v>0</v>
      </c>
      <c r="N69" s="48">
        <v>0</v>
      </c>
      <c r="O69" s="267">
        <v>0</v>
      </c>
      <c r="P69" s="48"/>
      <c r="Q69" s="48">
        <v>0</v>
      </c>
      <c r="R69" s="48"/>
      <c r="S69" s="48"/>
      <c r="V69" s="216"/>
    </row>
    <row r="70" spans="1:22" s="38" customFormat="1" ht="18" customHeight="1">
      <c r="A70" s="44"/>
      <c r="B70" s="44"/>
      <c r="C70" s="44"/>
      <c r="D70" s="42">
        <f>SUM(H70+I70+J70+K70+L70+M70+N70+O70+P70+Q70+R70+S70)</f>
        <v>1364518.47</v>
      </c>
      <c r="E70" s="216" t="s">
        <v>342</v>
      </c>
      <c r="F70" s="34" t="s">
        <v>239</v>
      </c>
      <c r="G70" s="27">
        <f t="shared" si="4"/>
        <v>112471.07</v>
      </c>
      <c r="H70" s="48">
        <v>30765.25</v>
      </c>
      <c r="I70" s="48">
        <v>36241.77</v>
      </c>
      <c r="J70" s="48">
        <v>57970.08</v>
      </c>
      <c r="K70" s="48">
        <v>86238.86</v>
      </c>
      <c r="L70" s="48">
        <v>146389.91</v>
      </c>
      <c r="M70" s="48">
        <v>29530.19</v>
      </c>
      <c r="N70" s="48">
        <v>31567.54</v>
      </c>
      <c r="O70" s="267">
        <v>795814.8</v>
      </c>
      <c r="P70" s="48">
        <v>37529</v>
      </c>
      <c r="Q70" s="48">
        <v>112471.07</v>
      </c>
      <c r="R70" s="48"/>
      <c r="S70" s="48"/>
      <c r="V70" s="216" t="s">
        <v>342</v>
      </c>
    </row>
    <row r="71" spans="1:22" s="38" customFormat="1" ht="18" customHeight="1">
      <c r="A71" s="44"/>
      <c r="B71" s="44"/>
      <c r="C71" s="44"/>
      <c r="D71" s="42">
        <f>SUM(H71+I71+J71+K71+L71+M71+N71+O71+P71+Q71+R71+S71)</f>
        <v>6655929.96</v>
      </c>
      <c r="E71" s="218" t="s">
        <v>308</v>
      </c>
      <c r="F71" s="46" t="s">
        <v>236</v>
      </c>
      <c r="G71" s="27">
        <f t="shared" si="4"/>
        <v>0</v>
      </c>
      <c r="H71" s="194">
        <v>46600</v>
      </c>
      <c r="I71" s="48">
        <v>588203.96</v>
      </c>
      <c r="J71" s="48">
        <f>1247500+1003126</f>
        <v>2250626</v>
      </c>
      <c r="K71" s="48">
        <f>1297192+996000</f>
        <v>2293192</v>
      </c>
      <c r="L71" s="48">
        <v>81308</v>
      </c>
      <c r="M71" s="48">
        <v>0</v>
      </c>
      <c r="N71" s="48">
        <v>400000</v>
      </c>
      <c r="O71" s="267">
        <v>996000</v>
      </c>
      <c r="P71" s="48"/>
      <c r="Q71" s="48">
        <v>0</v>
      </c>
      <c r="R71" s="48"/>
      <c r="S71" s="48"/>
      <c r="V71" s="218" t="s">
        <v>308</v>
      </c>
    </row>
    <row r="72" spans="1:22" s="38" customFormat="1" ht="18" customHeight="1">
      <c r="A72" s="44"/>
      <c r="B72" s="44"/>
      <c r="C72" s="44"/>
      <c r="D72" s="42">
        <f t="shared" si="9"/>
        <v>3138996.11</v>
      </c>
      <c r="E72" s="216" t="s">
        <v>329</v>
      </c>
      <c r="F72" s="34" t="s">
        <v>220</v>
      </c>
      <c r="G72" s="27">
        <f t="shared" si="4"/>
        <v>0</v>
      </c>
      <c r="H72" s="48">
        <v>0</v>
      </c>
      <c r="I72" s="48">
        <v>994.11</v>
      </c>
      <c r="J72" s="48"/>
      <c r="K72" s="48">
        <v>0</v>
      </c>
      <c r="L72" s="48">
        <v>2</v>
      </c>
      <c r="M72" s="48">
        <v>994000</v>
      </c>
      <c r="N72" s="48">
        <v>499000</v>
      </c>
      <c r="O72" s="267">
        <v>0</v>
      </c>
      <c r="P72" s="48">
        <v>1645000</v>
      </c>
      <c r="Q72" s="48">
        <v>0</v>
      </c>
      <c r="R72" s="48"/>
      <c r="S72" s="48"/>
      <c r="V72" s="216" t="s">
        <v>329</v>
      </c>
    </row>
    <row r="73" spans="1:22" s="38" customFormat="1" ht="18" customHeight="1">
      <c r="A73" s="44"/>
      <c r="B73" s="229"/>
      <c r="C73" s="230"/>
      <c r="D73" s="283">
        <f>SUM(H73+I73+J73+K73+L73+M73+N73+O73+P73+Q73+R73+S73)</f>
        <v>873331.37</v>
      </c>
      <c r="E73" s="219" t="s">
        <v>322</v>
      </c>
      <c r="F73" s="35" t="s">
        <v>238</v>
      </c>
      <c r="G73" s="27">
        <f t="shared" si="4"/>
        <v>0</v>
      </c>
      <c r="H73" s="48">
        <v>495000</v>
      </c>
      <c r="I73" s="48">
        <f>378000+331.37</f>
        <v>378331.37</v>
      </c>
      <c r="J73" s="48"/>
      <c r="K73" s="48">
        <v>0</v>
      </c>
      <c r="L73" s="48"/>
      <c r="M73" s="48"/>
      <c r="N73" s="48">
        <v>0</v>
      </c>
      <c r="O73" s="267">
        <v>0</v>
      </c>
      <c r="P73" s="48"/>
      <c r="Q73" s="48">
        <v>0</v>
      </c>
      <c r="R73" s="48">
        <v>0</v>
      </c>
      <c r="S73" s="48">
        <v>0</v>
      </c>
      <c r="V73" s="219" t="s">
        <v>322</v>
      </c>
    </row>
    <row r="74" spans="1:19" s="38" customFormat="1" ht="18" customHeight="1">
      <c r="A74" s="47"/>
      <c r="B74" s="337"/>
      <c r="C74" s="47"/>
      <c r="D74" s="211">
        <f>SUM(D65:D73)</f>
        <v>13456518.179999998</v>
      </c>
      <c r="E74" s="47"/>
      <c r="F74" s="50"/>
      <c r="G74" s="49">
        <f>SUM(G65:G73)</f>
        <v>214747.07</v>
      </c>
      <c r="H74" s="193"/>
      <c r="I74" s="193">
        <f>SUM(I65:I73)</f>
        <v>1084183.21</v>
      </c>
      <c r="J74" s="193">
        <f>SUM(J65:J73)</f>
        <v>2669654.29</v>
      </c>
      <c r="K74" s="193">
        <f>SUM(K65:K73)</f>
        <v>2434189.11</v>
      </c>
      <c r="L74" s="193">
        <f>SUM(L65:L73)</f>
        <v>317867.91000000003</v>
      </c>
      <c r="M74" s="193">
        <f>SUM(M65:M73)</f>
        <v>1033530.19</v>
      </c>
      <c r="N74" s="193"/>
      <c r="O74" s="266"/>
      <c r="P74" s="193"/>
      <c r="Q74" s="193"/>
      <c r="R74" s="53"/>
      <c r="S74" s="193"/>
    </row>
    <row r="75" spans="1:19" s="38" customFormat="1" ht="18" customHeight="1" thickBot="1">
      <c r="A75" s="47"/>
      <c r="B75" s="337"/>
      <c r="C75" s="47"/>
      <c r="D75" s="51">
        <f>SUM(D64+D74)</f>
        <v>40325887.78</v>
      </c>
      <c r="E75" s="220" t="s">
        <v>52</v>
      </c>
      <c r="F75" s="52"/>
      <c r="G75" s="51">
        <f>SUM(G64+G74)</f>
        <v>2398006.1599999997</v>
      </c>
      <c r="H75" s="193"/>
      <c r="I75" s="193"/>
      <c r="J75" s="193"/>
      <c r="K75" s="193"/>
      <c r="L75" s="193"/>
      <c r="M75" s="193">
        <f>2272859.7-2277420.95</f>
        <v>-4561.25</v>
      </c>
      <c r="N75" s="193"/>
      <c r="O75" s="266"/>
      <c r="P75" s="193"/>
      <c r="Q75" s="193"/>
      <c r="R75" s="195">
        <f>SUM(G75-2103694.82)</f>
        <v>294311.33999999985</v>
      </c>
      <c r="S75" s="193"/>
    </row>
    <row r="76" spans="1:19" s="38" customFormat="1" ht="18" customHeight="1" thickTop="1">
      <c r="A76" s="47"/>
      <c r="B76" s="337"/>
      <c r="C76" s="47"/>
      <c r="D76" s="183">
        <f>SUM(D20-D64)</f>
        <v>4990770.009999998</v>
      </c>
      <c r="E76" s="221" t="s">
        <v>53</v>
      </c>
      <c r="F76" s="53"/>
      <c r="G76" s="183">
        <f>SUM(G34-G75)</f>
        <v>1831304.9200000004</v>
      </c>
      <c r="H76" s="193"/>
      <c r="I76" s="193">
        <f>SUM(G75-21777)+570</f>
        <v>2376799.1599999997</v>
      </c>
      <c r="J76" s="193"/>
      <c r="K76" s="193"/>
      <c r="L76" s="193"/>
      <c r="M76" s="193"/>
      <c r="N76" s="193"/>
      <c r="O76" s="266">
        <f>SUM(G75-2086575.16)</f>
        <v>311430.99999999977</v>
      </c>
      <c r="P76" s="193"/>
      <c r="Q76" s="193"/>
      <c r="R76" s="53"/>
      <c r="S76" s="193"/>
    </row>
    <row r="77" spans="1:19" s="38" customFormat="1" ht="18" customHeight="1">
      <c r="A77" s="47"/>
      <c r="B77" s="337"/>
      <c r="C77" s="47"/>
      <c r="D77" s="103"/>
      <c r="E77" s="38" t="s">
        <v>54</v>
      </c>
      <c r="F77" s="53"/>
      <c r="G77" s="54"/>
      <c r="H77" s="193"/>
      <c r="I77" s="193"/>
      <c r="J77" s="193"/>
      <c r="K77" s="193"/>
      <c r="L77" s="193"/>
      <c r="M77" s="193"/>
      <c r="N77" s="193"/>
      <c r="O77" s="266"/>
      <c r="P77" s="193"/>
      <c r="Q77" s="193"/>
      <c r="R77" s="53"/>
      <c r="S77" s="193"/>
    </row>
    <row r="78" spans="1:19" s="38" customFormat="1" ht="18" customHeight="1">
      <c r="A78" s="47"/>
      <c r="B78" s="338"/>
      <c r="C78" s="47"/>
      <c r="D78" s="55"/>
      <c r="E78" s="222" t="s">
        <v>55</v>
      </c>
      <c r="F78" s="53"/>
      <c r="G78" s="55"/>
      <c r="H78" s="193"/>
      <c r="I78" s="193"/>
      <c r="J78" s="193"/>
      <c r="K78" s="193"/>
      <c r="L78" s="193"/>
      <c r="M78" s="193"/>
      <c r="N78" s="193"/>
      <c r="O78" s="266"/>
      <c r="P78" s="193"/>
      <c r="Q78" s="193"/>
      <c r="R78" s="53"/>
      <c r="S78" s="193"/>
    </row>
    <row r="79" spans="1:19" s="38" customFormat="1" ht="18" customHeight="1" thickBot="1">
      <c r="A79" s="47"/>
      <c r="B79" s="47"/>
      <c r="C79" s="47"/>
      <c r="D79" s="51">
        <f>SUM(D9+D34-D75+C19-B64-C63)-2+4+C63</f>
        <v>15886567.159999996</v>
      </c>
      <c r="E79" s="220" t="s">
        <v>56</v>
      </c>
      <c r="F79" s="52"/>
      <c r="G79" s="51">
        <f>G9+G34-G75+G19-D63-D72+994.11+G63+2+G72-G19+M72+N72+P72+Q72+R72+S72</f>
        <v>15886567.16</v>
      </c>
      <c r="H79" s="193"/>
      <c r="I79" s="445">
        <f>SUM(D79-G79)</f>
        <v>-3.725290298461914E-09</v>
      </c>
      <c r="J79" s="193"/>
      <c r="K79" s="193"/>
      <c r="L79" s="193"/>
      <c r="M79" s="193"/>
      <c r="N79" s="193"/>
      <c r="O79" s="266">
        <f>SUM(G78-2086575.16)</f>
        <v>-2086575.16</v>
      </c>
      <c r="P79" s="193"/>
      <c r="Q79" s="193"/>
      <c r="R79" s="53"/>
      <c r="S79" s="193"/>
    </row>
    <row r="80" spans="1:19" s="105" customFormat="1" ht="18" customHeight="1" thickTop="1">
      <c r="A80" s="26"/>
      <c r="B80" s="26"/>
      <c r="C80" s="26"/>
      <c r="D80" s="26"/>
      <c r="E80" s="26"/>
      <c r="F80" s="104"/>
      <c r="G80" s="26"/>
      <c r="H80" s="444">
        <f>SUM(D79-G79)</f>
        <v>-3.725290298461914E-09</v>
      </c>
      <c r="I80" s="196"/>
      <c r="J80" s="196"/>
      <c r="K80" s="196"/>
      <c r="L80" s="196">
        <f>SUM(2060656.05-2060634.05)</f>
        <v>22</v>
      </c>
      <c r="M80" s="196"/>
      <c r="N80" s="196"/>
      <c r="O80" s="266"/>
      <c r="P80" s="196"/>
      <c r="Q80" s="196"/>
      <c r="R80" s="104"/>
      <c r="S80" s="196"/>
    </row>
    <row r="81" spans="1:19" s="105" customFormat="1" ht="18" customHeight="1">
      <c r="A81" s="26"/>
      <c r="B81" s="26"/>
      <c r="C81" s="26"/>
      <c r="D81" s="26"/>
      <c r="E81" s="26"/>
      <c r="F81" s="104"/>
      <c r="G81" s="284"/>
      <c r="H81" s="196"/>
      <c r="I81" s="196">
        <f>SUM(D79-G79)</f>
        <v>-3.725290298461914E-09</v>
      </c>
      <c r="J81" s="196"/>
      <c r="K81" s="196"/>
      <c r="L81" s="196"/>
      <c r="M81" s="196"/>
      <c r="N81" s="196"/>
      <c r="O81" s="266"/>
      <c r="P81" s="196"/>
      <c r="Q81" s="196"/>
      <c r="R81" s="104"/>
      <c r="S81" s="196"/>
    </row>
    <row r="82" spans="1:19" s="105" customFormat="1" ht="18" customHeight="1">
      <c r="A82" s="26"/>
      <c r="B82" s="26"/>
      <c r="C82" s="26"/>
      <c r="D82" s="351">
        <v>15886567.16</v>
      </c>
      <c r="E82" s="26"/>
      <c r="F82" s="104" t="s">
        <v>16</v>
      </c>
      <c r="G82" s="351">
        <v>15886567.16</v>
      </c>
      <c r="H82" s="196"/>
      <c r="I82" s="196"/>
      <c r="J82" s="196"/>
      <c r="K82" s="25"/>
      <c r="L82" s="196"/>
      <c r="M82" s="196"/>
      <c r="N82" s="196"/>
      <c r="O82" s="266"/>
      <c r="P82" s="196"/>
      <c r="Q82" s="196"/>
      <c r="R82" s="104"/>
      <c r="S82" s="196"/>
    </row>
    <row r="83" spans="4:15" ht="18.75">
      <c r="D83" s="198">
        <v>15886567.16</v>
      </c>
      <c r="G83" s="198">
        <v>14241610.16</v>
      </c>
      <c r="O83" s="268"/>
    </row>
    <row r="84" spans="4:15" ht="18.75">
      <c r="D84" s="198">
        <f>SUM(D82-D83)</f>
        <v>0</v>
      </c>
      <c r="G84" s="198">
        <f>SUM(G82-G83)</f>
        <v>1644957</v>
      </c>
      <c r="O84" s="268"/>
    </row>
    <row r="85" spans="7:15" ht="18.75">
      <c r="G85" s="198"/>
      <c r="O85" s="268"/>
    </row>
    <row r="86" spans="5:15" ht="18.75">
      <c r="E86" s="285"/>
      <c r="G86" s="198"/>
      <c r="O86" s="268"/>
    </row>
  </sheetData>
  <sheetProtection/>
  <mergeCells count="7">
    <mergeCell ref="A41:D41"/>
    <mergeCell ref="A1:G1"/>
    <mergeCell ref="A2:G2"/>
    <mergeCell ref="A3:G3"/>
    <mergeCell ref="A4:G4"/>
    <mergeCell ref="A5:G5"/>
    <mergeCell ref="A6:D6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C14" sqref="C14"/>
    </sheetView>
  </sheetViews>
  <sheetFormatPr defaultColWidth="9.140625" defaultRowHeight="19.5" customHeight="1"/>
  <cols>
    <col min="1" max="1" width="47.57421875" style="161" customWidth="1"/>
    <col min="2" max="2" width="10.140625" style="161" customWidth="1"/>
    <col min="3" max="3" width="13.7109375" style="161" customWidth="1"/>
    <col min="4" max="4" width="14.140625" style="161" customWidth="1"/>
    <col min="5" max="5" width="14.421875" style="161" customWidth="1"/>
    <col min="6" max="6" width="15.28125" style="162" bestFit="1" customWidth="1"/>
    <col min="7" max="16384" width="9.00390625" style="161" customWidth="1"/>
  </cols>
  <sheetData>
    <row r="1" spans="1:4" ht="21.75" customHeight="1">
      <c r="A1" s="455" t="s">
        <v>18</v>
      </c>
      <c r="B1" s="455"/>
      <c r="C1" s="455"/>
      <c r="D1" s="455"/>
    </row>
    <row r="2" spans="1:4" ht="21.75" customHeight="1">
      <c r="A2" s="454" t="s">
        <v>0</v>
      </c>
      <c r="B2" s="454"/>
      <c r="C2" s="454"/>
      <c r="D2" s="454"/>
    </row>
    <row r="3" spans="1:4" ht="21.75" customHeight="1">
      <c r="A3" s="454" t="s">
        <v>381</v>
      </c>
      <c r="B3" s="454"/>
      <c r="C3" s="454"/>
      <c r="D3" s="454"/>
    </row>
    <row r="4" spans="1:4" ht="21.75" customHeight="1">
      <c r="A4" s="456" t="s">
        <v>438</v>
      </c>
      <c r="B4" s="456"/>
      <c r="C4" s="456"/>
      <c r="D4" s="456"/>
    </row>
    <row r="5" spans="1:4" ht="19.5" customHeight="1">
      <c r="A5" s="163" t="s">
        <v>1</v>
      </c>
      <c r="B5" s="163" t="s">
        <v>2</v>
      </c>
      <c r="C5" s="163" t="s">
        <v>3</v>
      </c>
      <c r="D5" s="163" t="s">
        <v>4</v>
      </c>
    </row>
    <row r="6" spans="1:5" ht="19.5" customHeight="1">
      <c r="A6" s="164" t="s">
        <v>5</v>
      </c>
      <c r="B6" s="165" t="s">
        <v>264</v>
      </c>
      <c r="C6" s="166">
        <v>0</v>
      </c>
      <c r="D6" s="167"/>
      <c r="E6" s="168"/>
    </row>
    <row r="7" spans="1:4" ht="19.5" customHeight="1">
      <c r="A7" s="169" t="s">
        <v>347</v>
      </c>
      <c r="B7" s="170" t="s">
        <v>223</v>
      </c>
      <c r="C7" s="343">
        <f>7187703.84+88302.38-89800+331470.36-89000+254899.55-90600+431553.05-91400+759939.46-92200+399847.18-93000+589446.83-95400+366930.52-94600+452984.23-62600+392196.68-40800-7000000</f>
        <v>3415874.08</v>
      </c>
      <c r="D7" s="171"/>
    </row>
    <row r="8" spans="1:5" ht="19.5" customHeight="1">
      <c r="A8" s="169" t="s">
        <v>348</v>
      </c>
      <c r="B8" s="170" t="s">
        <v>223</v>
      </c>
      <c r="C8" s="343">
        <f>648684.68+1258.27-649942.95</f>
        <v>0</v>
      </c>
      <c r="D8" s="171"/>
      <c r="E8" s="172"/>
    </row>
    <row r="9" spans="1:6" ht="19.5" customHeight="1">
      <c r="A9" s="169" t="s">
        <v>349</v>
      </c>
      <c r="B9" s="170" t="s">
        <v>223</v>
      </c>
      <c r="C9" s="234">
        <f>8069643.89+5864506.36-2264800.56-1200+2849868.56-3944387.77+2575586.47-5880600.25+7382353.79-4455670.83+30+1319454.4-3172141.28-30+2067510.08-3273686.84+9601450.18-8244253.6+2483835.93-4375884.89-227+1331753.93-3997535.37-800+7000000+3629484.26-2093566.38</f>
        <v>12470693.080000002</v>
      </c>
      <c r="D9" s="171"/>
      <c r="E9" s="161">
        <f>8342612.78-8343039.98</f>
        <v>-427.20000000018626</v>
      </c>
      <c r="F9" s="162" t="e">
        <f>SUM(#REF!+#REF!+#REF!+#REF!)</f>
        <v>#REF!</v>
      </c>
    </row>
    <row r="10" spans="1:4" ht="19.5" customHeight="1">
      <c r="A10" s="169" t="s">
        <v>370</v>
      </c>
      <c r="B10" s="170" t="s">
        <v>223</v>
      </c>
      <c r="C10" s="234">
        <f>132388.31-4203+824.33-6100-1000-1200-42102.8-397.2-6100-16000-100+335.14-56344.78</f>
        <v>0</v>
      </c>
      <c r="D10" s="171"/>
    </row>
    <row r="11" spans="1:5" ht="19.5" customHeight="1">
      <c r="A11" s="169" t="s">
        <v>192</v>
      </c>
      <c r="B11" s="170" t="s">
        <v>224</v>
      </c>
      <c r="C11" s="234">
        <f>1209827.25+273396.21</f>
        <v>1483223.46</v>
      </c>
      <c r="D11" s="171"/>
      <c r="E11" s="161">
        <v>11191166.74</v>
      </c>
    </row>
    <row r="12" spans="1:5" ht="19.5" customHeight="1">
      <c r="A12" s="169" t="s">
        <v>333</v>
      </c>
      <c r="B12" s="170" t="s">
        <v>222</v>
      </c>
      <c r="C12" s="290">
        <f>256000-256000+24000-24000+7184.25+5620-12804.25+3900-3900+108750+5172+9242.81-5172-9242.81+6100-108750-6100+96245-96245</f>
        <v>0</v>
      </c>
      <c r="D12" s="171"/>
      <c r="E12" s="161">
        <f>SUM(E9-E11)</f>
        <v>-11191593.940000001</v>
      </c>
    </row>
    <row r="13" spans="1:4" ht="19.5" customHeight="1">
      <c r="A13" s="169" t="s">
        <v>380</v>
      </c>
      <c r="B13" s="170" t="s">
        <v>226</v>
      </c>
      <c r="C13" s="290">
        <f>9584000-495000-1003126-79874-1247500-1297192-996000-81308-400000-996000</f>
        <v>2988000</v>
      </c>
      <c r="D13" s="209"/>
    </row>
    <row r="14" spans="1:4" ht="19.5" customHeight="1">
      <c r="A14" s="169" t="s">
        <v>332</v>
      </c>
      <c r="B14" s="170" t="s">
        <v>310</v>
      </c>
      <c r="C14" s="234">
        <f>16536.75-6677.25</f>
        <v>9859.5</v>
      </c>
      <c r="D14" s="171"/>
    </row>
    <row r="15" spans="1:5" ht="19.5" customHeight="1">
      <c r="A15" s="169" t="s">
        <v>327</v>
      </c>
      <c r="B15" s="170" t="s">
        <v>221</v>
      </c>
      <c r="C15" s="166">
        <f>456081-29640-24780+56412+73934-28826-40126-23278+74168-2-33350+93524-36400-49536+131236-53228-72408+102276</f>
        <v>596057</v>
      </c>
      <c r="D15" s="209"/>
      <c r="E15" s="161">
        <f>426441+40045.9</f>
        <v>466486.9</v>
      </c>
    </row>
    <row r="16" spans="1:4" ht="19.5" customHeight="1">
      <c r="A16" s="169" t="s">
        <v>331</v>
      </c>
      <c r="B16" s="170" t="s">
        <v>221</v>
      </c>
      <c r="C16" s="166">
        <f>85836.6-45790.7-40045.9</f>
        <v>0</v>
      </c>
      <c r="D16" s="209"/>
    </row>
    <row r="17" spans="1:5" ht="19.5" customHeight="1">
      <c r="A17" s="169" t="s">
        <v>115</v>
      </c>
      <c r="B17" s="170" t="s">
        <v>227</v>
      </c>
      <c r="C17" s="166">
        <f>553600+564994+1212699.41+558900+576718+565594+564634+566634+554900+9817-43+10202+1000+96000+458800</f>
        <v>6294449.41</v>
      </c>
      <c r="D17" s="171"/>
      <c r="E17" s="172"/>
    </row>
    <row r="18" spans="1:5" ht="19.5" customHeight="1">
      <c r="A18" s="169" t="s">
        <v>6</v>
      </c>
      <c r="B18" s="170" t="s">
        <v>228</v>
      </c>
      <c r="C18" s="166">
        <f>218720+218720+218720+218720+218720+218720+218720+218720+218720+218720</f>
        <v>2187200</v>
      </c>
      <c r="D18" s="171"/>
      <c r="E18" s="172"/>
    </row>
    <row r="19" spans="1:5" ht="19.5" customHeight="1">
      <c r="A19" s="169" t="s">
        <v>7</v>
      </c>
      <c r="B19" s="170" t="s">
        <v>229</v>
      </c>
      <c r="C19" s="166">
        <f>621340+639639+646770+646770+646770+636770+643310+653310+633976+642662</f>
        <v>6411317</v>
      </c>
      <c r="D19" s="171"/>
      <c r="E19" s="172">
        <f>SUM(C19:C19)</f>
        <v>6411317</v>
      </c>
    </row>
    <row r="20" spans="1:5" ht="19.5" customHeight="1">
      <c r="A20" s="169" t="s">
        <v>8</v>
      </c>
      <c r="B20" s="170" t="s">
        <v>230</v>
      </c>
      <c r="C20" s="344">
        <f>27900+24760+33080+31370+35080+32700+30300+30660+17900</f>
        <v>263750</v>
      </c>
      <c r="D20" s="171"/>
      <c r="E20" s="168"/>
    </row>
    <row r="21" spans="1:6" ht="19.5" customHeight="1">
      <c r="A21" s="233" t="s">
        <v>9</v>
      </c>
      <c r="B21" s="170" t="s">
        <v>231</v>
      </c>
      <c r="C21" s="166">
        <f>63604.5+1252409.34+1149151.26+585830.98+676785.49+562471.8+1088693.06+727922.47+629875.22+269906.9+91795.5</f>
        <v>7098446.52</v>
      </c>
      <c r="D21" s="171"/>
      <c r="F21" s="162">
        <f>SUM(1239800+139500+2100+900)</f>
        <v>1382300</v>
      </c>
    </row>
    <row r="22" spans="1:6" ht="19.5" customHeight="1">
      <c r="A22" s="169" t="s">
        <v>10</v>
      </c>
      <c r="B22" s="170" t="s">
        <v>232</v>
      </c>
      <c r="C22" s="344">
        <f>59343.76+116222.2+19237+217740.3+251367.2+69855+323134.7+109296.5+134250.4</f>
        <v>1300447.0599999998</v>
      </c>
      <c r="D22" s="171"/>
      <c r="E22" s="172"/>
      <c r="F22" s="162">
        <f>405400+43000+2100+900</f>
        <v>451400</v>
      </c>
    </row>
    <row r="23" spans="1:6" ht="19.5" customHeight="1">
      <c r="A23" s="169" t="s">
        <v>11</v>
      </c>
      <c r="B23" s="170" t="s">
        <v>233</v>
      </c>
      <c r="C23" s="166">
        <f>88541.58+81986.02+81780.95+82618.67+104140.72+88987.29+97633.04+113142.68+109989.61+99528.29</f>
        <v>948348.85</v>
      </c>
      <c r="D23" s="171"/>
      <c r="F23" s="162">
        <f>SUM(F21-F22)</f>
        <v>930900</v>
      </c>
    </row>
    <row r="24" spans="1:6" ht="19.5" customHeight="1">
      <c r="A24" s="169" t="s">
        <v>12</v>
      </c>
      <c r="B24" s="170" t="s">
        <v>265</v>
      </c>
      <c r="C24" s="344">
        <f>123500+161000+166000+630620+364480+84320</f>
        <v>1529920</v>
      </c>
      <c r="D24" s="171"/>
      <c r="F24" s="162" t="e">
        <f>SUM(#REF!-F23)</f>
        <v>#REF!</v>
      </c>
    </row>
    <row r="25" spans="1:4" ht="19.5" customHeight="1">
      <c r="A25" s="169" t="s">
        <v>13</v>
      </c>
      <c r="B25" s="170" t="s">
        <v>234</v>
      </c>
      <c r="C25" s="344">
        <f>52000+21200+51337.33+111730+6131.1+22700+191950+21268.33+58174</f>
        <v>536490.76</v>
      </c>
      <c r="D25" s="171"/>
    </row>
    <row r="26" spans="1:6" ht="19.5" customHeight="1">
      <c r="A26" s="169" t="s">
        <v>14</v>
      </c>
      <c r="B26" s="170" t="s">
        <v>235</v>
      </c>
      <c r="C26" s="344">
        <v>299000</v>
      </c>
      <c r="D26" s="171"/>
      <c r="F26" s="162">
        <f>800+1500+800+1500</f>
        <v>4600</v>
      </c>
    </row>
    <row r="27" spans="1:4" ht="19.5" customHeight="1">
      <c r="A27" s="279" t="s">
        <v>416</v>
      </c>
      <c r="B27" s="170" t="s">
        <v>372</v>
      </c>
      <c r="C27" s="344">
        <v>30700</v>
      </c>
      <c r="D27" s="173"/>
    </row>
    <row r="28" spans="1:4" ht="19.5" customHeight="1">
      <c r="A28" s="342" t="s">
        <v>417</v>
      </c>
      <c r="B28" s="170" t="s">
        <v>415</v>
      </c>
      <c r="C28" s="344">
        <f>4630000</f>
        <v>4630000</v>
      </c>
      <c r="D28" s="173"/>
    </row>
    <row r="29" spans="1:4" ht="19.5" customHeight="1">
      <c r="A29" s="169" t="s">
        <v>398</v>
      </c>
      <c r="B29" s="170" t="s">
        <v>399</v>
      </c>
      <c r="C29" s="166">
        <v>0</v>
      </c>
      <c r="D29" s="290">
        <f>30-30</f>
        <v>0</v>
      </c>
    </row>
    <row r="30" spans="1:4" ht="19.5" customHeight="1">
      <c r="A30" s="169" t="s">
        <v>308</v>
      </c>
      <c r="B30" s="170" t="s">
        <v>236</v>
      </c>
      <c r="C30" s="280"/>
      <c r="D30" s="345">
        <f>9643929.96-46600-6329.96-7000-495000-79874-1247500-1003126-1297192-996000-81308-400000-996000</f>
        <v>2988000</v>
      </c>
    </row>
    <row r="31" spans="1:4" ht="19.5" customHeight="1">
      <c r="A31" s="169" t="s">
        <v>346</v>
      </c>
      <c r="B31" s="170" t="s">
        <v>239</v>
      </c>
      <c r="C31" s="280"/>
      <c r="D31" s="234">
        <f>1556165.2+77274.5-36241.77+87985.99-57970.08+61649.43-86238.86+98360.14-146389.91+54523.53-29530.19+95638.48-31567.54+38737.94-795814.8+43167.56-37529+13977.77-112471.07</f>
        <v>793727.3199999996</v>
      </c>
    </row>
    <row r="32" spans="1:4" ht="19.5" customHeight="1">
      <c r="A32" s="228" t="s">
        <v>215</v>
      </c>
      <c r="B32" s="170" t="s">
        <v>237</v>
      </c>
      <c r="C32" s="280"/>
      <c r="D32" s="281">
        <v>0</v>
      </c>
    </row>
    <row r="33" spans="1:4" ht="19.5" customHeight="1">
      <c r="A33" s="169" t="s">
        <v>183</v>
      </c>
      <c r="B33" s="170" t="s">
        <v>220</v>
      </c>
      <c r="C33" s="280"/>
      <c r="D33" s="166">
        <f>8881188.26+1000+1000+840-994.11+1000+1000+1000+5150.41+1588.33+9537.72-2+1000-994000+1000-499000+1000+1000-498000-150000-498000-499000+1000+666.67</f>
        <v>5769975.280000001</v>
      </c>
    </row>
    <row r="34" spans="1:6" ht="19.5" customHeight="1">
      <c r="A34" s="169" t="s">
        <v>184</v>
      </c>
      <c r="B34" s="170" t="s">
        <v>238</v>
      </c>
      <c r="C34" s="280"/>
      <c r="D34" s="166">
        <f>7294036.44-495000-378000-331.37+529.44</f>
        <v>6421234.510000001</v>
      </c>
      <c r="E34" s="174"/>
      <c r="F34" s="162" t="e">
        <f>SUM(#REF!)</f>
        <v>#REF!</v>
      </c>
    </row>
    <row r="35" spans="1:5" ht="19.5" customHeight="1">
      <c r="A35" s="169" t="s">
        <v>345</v>
      </c>
      <c r="B35" s="170" t="s">
        <v>219</v>
      </c>
      <c r="C35" s="280"/>
      <c r="D35" s="166">
        <f>5875163.02+1601686.08+1597203.89+5458222+2049753.91+2398532.29+5193706.38+1792181.51+1848676.89+4045013.64</f>
        <v>31860139.610000003</v>
      </c>
      <c r="E35" s="174"/>
    </row>
    <row r="36" spans="1:4" ht="21.75" customHeight="1">
      <c r="A36" s="279" t="s">
        <v>416</v>
      </c>
      <c r="B36" s="170" t="s">
        <v>372</v>
      </c>
      <c r="C36" s="280"/>
      <c r="D36" s="166">
        <v>30700</v>
      </c>
    </row>
    <row r="37" spans="1:4" ht="21.75" customHeight="1">
      <c r="A37" s="342" t="s">
        <v>417</v>
      </c>
      <c r="B37" s="170" t="s">
        <v>415</v>
      </c>
      <c r="C37" s="280"/>
      <c r="D37" s="344">
        <f>4630000</f>
        <v>4630000</v>
      </c>
    </row>
    <row r="38" spans="1:4" ht="19.5" customHeight="1" thickBot="1">
      <c r="A38" s="457" t="s">
        <v>17</v>
      </c>
      <c r="B38" s="458"/>
      <c r="C38" s="181">
        <f>SUM(C6:C36)</f>
        <v>52493776.72</v>
      </c>
      <c r="D38" s="181">
        <f>SUM(D6:D37)</f>
        <v>52493776.720000006</v>
      </c>
    </row>
    <row r="39" spans="1:4" ht="19.5" customHeight="1" thickTop="1">
      <c r="A39" s="175"/>
      <c r="B39" s="176"/>
      <c r="C39" s="177"/>
      <c r="D39" s="177"/>
    </row>
    <row r="40" spans="1:4" ht="19.5" customHeight="1">
      <c r="A40" s="175"/>
      <c r="B40" s="176"/>
      <c r="C40" s="177"/>
      <c r="D40" s="177"/>
    </row>
    <row r="41" spans="1:6" ht="19.5" customHeight="1">
      <c r="A41" s="175"/>
      <c r="B41" s="176"/>
      <c r="C41" s="162">
        <v>48545589.71</v>
      </c>
      <c r="D41" s="162">
        <v>48550740.12</v>
      </c>
      <c r="E41" s="162"/>
      <c r="F41" s="162" t="s">
        <v>423</v>
      </c>
    </row>
    <row r="42" spans="1:6" ht="19.5" customHeight="1">
      <c r="A42" s="175"/>
      <c r="B42" s="176"/>
      <c r="C42" s="162">
        <v>48464354.15</v>
      </c>
      <c r="D42" s="162">
        <v>48545589.71</v>
      </c>
      <c r="E42" s="162"/>
      <c r="F42" s="162" t="s">
        <v>424</v>
      </c>
    </row>
    <row r="43" spans="1:5" ht="19.5" customHeight="1">
      <c r="A43" s="175"/>
      <c r="B43" s="176"/>
      <c r="C43" s="162">
        <f>SUM(C41-C42)</f>
        <v>81235.56000000238</v>
      </c>
      <c r="D43" s="162">
        <f>SUM(D41-D42)</f>
        <v>5150.409999996424</v>
      </c>
      <c r="E43" s="162"/>
    </row>
    <row r="44" spans="1:4" ht="19.5" customHeight="1">
      <c r="A44" s="175"/>
      <c r="B44" s="176"/>
      <c r="C44" s="177"/>
      <c r="D44" s="177"/>
    </row>
    <row r="45" spans="1:4" ht="19.5" customHeight="1">
      <c r="A45" s="175"/>
      <c r="B45" s="176"/>
      <c r="C45" s="177"/>
      <c r="D45" s="177"/>
    </row>
    <row r="46" spans="1:4" ht="19.5" customHeight="1">
      <c r="A46" s="175"/>
      <c r="B46" s="176"/>
      <c r="C46" s="177"/>
      <c r="D46" s="177"/>
    </row>
    <row r="47" spans="1:4" ht="19.5" customHeight="1">
      <c r="A47" s="175"/>
      <c r="B47" s="176"/>
      <c r="C47" s="177"/>
      <c r="D47" s="177"/>
    </row>
    <row r="48" spans="1:4" ht="19.5" customHeight="1">
      <c r="A48" s="175"/>
      <c r="B48" s="176"/>
      <c r="C48" s="177"/>
      <c r="D48" s="177"/>
    </row>
    <row r="49" spans="1:4" ht="19.5" customHeight="1">
      <c r="A49" s="175"/>
      <c r="B49" s="176"/>
      <c r="C49" s="177"/>
      <c r="D49" s="177"/>
    </row>
    <row r="50" spans="1:4" ht="19.5" customHeight="1">
      <c r="A50" s="175"/>
      <c r="B50" s="176"/>
      <c r="C50" s="177"/>
      <c r="D50" s="177"/>
    </row>
    <row r="51" ht="19.5" customHeight="1">
      <c r="C51" s="168"/>
    </row>
    <row r="52" spans="3:4" ht="19.5" customHeight="1">
      <c r="C52" s="168"/>
      <c r="D52" s="168"/>
    </row>
  </sheetData>
  <sheetProtection/>
  <mergeCells count="5">
    <mergeCell ref="A1:D1"/>
    <mergeCell ref="A2:D2"/>
    <mergeCell ref="A3:D3"/>
    <mergeCell ref="A4:D4"/>
    <mergeCell ref="A38:B38"/>
  </mergeCells>
  <printOptions/>
  <pageMargins left="0.6299212598425197" right="0.2362204724409449" top="0.7480314960629921" bottom="0.15748031496062992" header="0.31496062992125984" footer="0.118110236220472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view="pageBreakPreview" zoomScale="90" zoomScaleSheetLayoutView="90" zoomScalePageLayoutView="0" workbookViewId="0" topLeftCell="A112">
      <selection activeCell="B15" sqref="B15"/>
    </sheetView>
  </sheetViews>
  <sheetFormatPr defaultColWidth="9.140625" defaultRowHeight="19.5" customHeight="1"/>
  <cols>
    <col min="1" max="1" width="48.57421875" style="207" customWidth="1"/>
    <col min="2" max="2" width="9.421875" style="188" customWidth="1"/>
    <col min="3" max="3" width="12.8515625" style="244" customWidth="1"/>
    <col min="4" max="4" width="12.8515625" style="207" customWidth="1"/>
    <col min="5" max="5" width="10.8515625" style="207" customWidth="1"/>
    <col min="6" max="6" width="9.8515625" style="271" bestFit="1" customWidth="1"/>
    <col min="7" max="7" width="10.421875" style="188" bestFit="1" customWidth="1"/>
    <col min="8" max="16384" width="9.00390625" style="188" customWidth="1"/>
  </cols>
  <sheetData>
    <row r="1" spans="1:5" ht="31.5" customHeight="1">
      <c r="A1" s="459" t="s">
        <v>182</v>
      </c>
      <c r="B1" s="459"/>
      <c r="C1" s="459"/>
      <c r="D1" s="459"/>
      <c r="E1" s="459"/>
    </row>
    <row r="2" spans="1:5" ht="24" customHeight="1">
      <c r="A2" s="460" t="s">
        <v>162</v>
      </c>
      <c r="B2" s="460"/>
      <c r="C2" s="460"/>
      <c r="D2" s="460"/>
      <c r="E2" s="460"/>
    </row>
    <row r="3" spans="1:5" ht="24" customHeight="1">
      <c r="A3" s="460" t="s">
        <v>302</v>
      </c>
      <c r="B3" s="460"/>
      <c r="C3" s="460"/>
      <c r="D3" s="460"/>
      <c r="E3" s="460"/>
    </row>
    <row r="4" spans="1:5" ht="24" customHeight="1">
      <c r="A4" s="460" t="s">
        <v>426</v>
      </c>
      <c r="B4" s="460"/>
      <c r="C4" s="460"/>
      <c r="D4" s="460"/>
      <c r="E4" s="460"/>
    </row>
    <row r="5" spans="1:5" ht="24" customHeight="1">
      <c r="A5" s="57"/>
      <c r="B5" s="57"/>
      <c r="C5" s="57"/>
      <c r="D5" s="57"/>
      <c r="E5" s="380" t="s">
        <v>301</v>
      </c>
    </row>
    <row r="6" spans="1:5" ht="19.5" customHeight="1">
      <c r="A6" s="58"/>
      <c r="B6" s="59" t="s">
        <v>2</v>
      </c>
      <c r="C6" s="60" t="s">
        <v>24</v>
      </c>
      <c r="D6" s="200" t="s">
        <v>163</v>
      </c>
      <c r="E6" s="61" t="s">
        <v>164</v>
      </c>
    </row>
    <row r="7" spans="1:5" ht="21.75" customHeight="1">
      <c r="A7" s="62" t="s">
        <v>266</v>
      </c>
      <c r="B7" s="63">
        <v>41000000</v>
      </c>
      <c r="C7" s="64"/>
      <c r="D7" s="201"/>
      <c r="E7" s="381"/>
    </row>
    <row r="8" spans="1:5" ht="21.75" customHeight="1">
      <c r="A8" s="65" t="s">
        <v>165</v>
      </c>
      <c r="B8" s="66" t="s">
        <v>240</v>
      </c>
      <c r="C8" s="64"/>
      <c r="D8" s="201"/>
      <c r="E8" s="381"/>
    </row>
    <row r="9" spans="1:7" ht="21.75" customHeight="1">
      <c r="A9" s="67" t="s">
        <v>166</v>
      </c>
      <c r="B9" s="66" t="s">
        <v>267</v>
      </c>
      <c r="C9" s="68">
        <v>515000</v>
      </c>
      <c r="D9" s="202">
        <f>1335+35192+19110.73+460738.14+23421.5</f>
        <v>539797.37</v>
      </c>
      <c r="E9" s="69">
        <v>0</v>
      </c>
      <c r="G9" s="197">
        <f>SUM(C9-D9)</f>
        <v>-24797.369999999995</v>
      </c>
    </row>
    <row r="10" spans="1:7" ht="21.75" customHeight="1">
      <c r="A10" s="67" t="s">
        <v>167</v>
      </c>
      <c r="B10" s="66" t="s">
        <v>268</v>
      </c>
      <c r="C10" s="68">
        <v>40000</v>
      </c>
      <c r="D10" s="202">
        <f>285.5+150.87+154.31+10749.36+7868.31+10024.51+5540.48+6305.29+2017.46+743.63</f>
        <v>43839.719999999994</v>
      </c>
      <c r="E10" s="69">
        <v>743.63</v>
      </c>
      <c r="G10" s="197">
        <f>SUM(C10-D10)</f>
        <v>-3839.719999999994</v>
      </c>
    </row>
    <row r="11" spans="1:7" ht="21.75" customHeight="1">
      <c r="A11" s="67" t="s">
        <v>168</v>
      </c>
      <c r="B11" s="70" t="s">
        <v>269</v>
      </c>
      <c r="C11" s="71">
        <v>25600</v>
      </c>
      <c r="D11" s="202">
        <f>200+240+26120+6360</f>
        <v>32920</v>
      </c>
      <c r="E11" s="69">
        <v>0</v>
      </c>
      <c r="G11" s="197">
        <f>SUM(C11-D11)</f>
        <v>-7320</v>
      </c>
    </row>
    <row r="12" spans="1:5" ht="21.75" customHeight="1">
      <c r="A12" s="72" t="s">
        <v>17</v>
      </c>
      <c r="B12" s="73"/>
      <c r="C12" s="74">
        <f>SUM(C9:C11)</f>
        <v>580600</v>
      </c>
      <c r="D12" s="203">
        <f>SUM(D9:D11)</f>
        <v>616557.09</v>
      </c>
      <c r="E12" s="75">
        <f>SUM(E9:E11)</f>
        <v>743.63</v>
      </c>
    </row>
    <row r="13" spans="1:5" ht="21.75" customHeight="1">
      <c r="A13" s="65" t="s">
        <v>169</v>
      </c>
      <c r="B13" s="73">
        <v>41200000</v>
      </c>
      <c r="C13" s="76"/>
      <c r="D13" s="202"/>
      <c r="E13" s="69"/>
    </row>
    <row r="14" spans="1:7" ht="21.75" customHeight="1">
      <c r="A14" s="67" t="s">
        <v>337</v>
      </c>
      <c r="B14" s="66" t="s">
        <v>272</v>
      </c>
      <c r="C14" s="68">
        <v>700</v>
      </c>
      <c r="D14" s="69">
        <f>29.1+349.2+116.4+29.1+29.1</f>
        <v>552.9000000000001</v>
      </c>
      <c r="E14" s="69">
        <v>0</v>
      </c>
      <c r="G14" s="241"/>
    </row>
    <row r="15" spans="1:7" ht="21.75" customHeight="1">
      <c r="A15" s="67" t="s">
        <v>336</v>
      </c>
      <c r="B15" s="66" t="s">
        <v>271</v>
      </c>
      <c r="C15" s="68">
        <v>1500</v>
      </c>
      <c r="D15" s="69">
        <f>143+51+98+43</f>
        <v>335</v>
      </c>
      <c r="E15" s="69">
        <v>0</v>
      </c>
      <c r="G15" s="241">
        <f>SUM(C15-D15)</f>
        <v>1165</v>
      </c>
    </row>
    <row r="16" spans="1:7" ht="21.75" customHeight="1">
      <c r="A16" s="67" t="s">
        <v>334</v>
      </c>
      <c r="B16" s="66" t="s">
        <v>270</v>
      </c>
      <c r="C16" s="68">
        <v>89500</v>
      </c>
      <c r="D16" s="69">
        <f>240+10420+10180+10460+10340+3320+1200+6040+5040+1040</f>
        <v>58280</v>
      </c>
      <c r="E16" s="69">
        <v>1040</v>
      </c>
      <c r="G16" s="241">
        <f>SUM(C16-D16)</f>
        <v>31220</v>
      </c>
    </row>
    <row r="17" spans="1:7" ht="21.75" customHeight="1">
      <c r="A17" s="67" t="s">
        <v>277</v>
      </c>
      <c r="B17" s="66" t="s">
        <v>241</v>
      </c>
      <c r="C17" s="68">
        <v>5000</v>
      </c>
      <c r="D17" s="69">
        <v>0</v>
      </c>
      <c r="E17" s="69">
        <v>0</v>
      </c>
      <c r="G17" s="241"/>
    </row>
    <row r="18" spans="1:7" ht="21.75" customHeight="1">
      <c r="A18" s="67" t="s">
        <v>335</v>
      </c>
      <c r="B18" s="66" t="s">
        <v>273</v>
      </c>
      <c r="C18" s="68">
        <v>500</v>
      </c>
      <c r="D18" s="69">
        <f>90+50+50+100+50+50+50+50</f>
        <v>490</v>
      </c>
      <c r="E18" s="69">
        <v>50</v>
      </c>
      <c r="G18" s="241">
        <f aca="true" t="shared" si="0" ref="G18:G25">SUM(C18-D18)</f>
        <v>10</v>
      </c>
    </row>
    <row r="19" spans="1:7" ht="21.75" customHeight="1">
      <c r="A19" s="67" t="s">
        <v>278</v>
      </c>
      <c r="B19" s="66" t="s">
        <v>274</v>
      </c>
      <c r="C19" s="68">
        <v>2100000</v>
      </c>
      <c r="D19" s="69">
        <f>205110+180202.25+332822.15+652228.3+272534+200616.5+364022.52+402185.45+330345.35</f>
        <v>2940066.5200000005</v>
      </c>
      <c r="E19" s="69">
        <v>330345.35</v>
      </c>
      <c r="G19" s="241"/>
    </row>
    <row r="20" spans="1:7" ht="21.75" customHeight="1">
      <c r="A20" s="67" t="s">
        <v>279</v>
      </c>
      <c r="B20" s="63">
        <v>41219999</v>
      </c>
      <c r="C20" s="68">
        <v>19000</v>
      </c>
      <c r="D20" s="69">
        <f>1540+410+2320+1800+1300+1880+320+340+100+740</f>
        <v>10750</v>
      </c>
      <c r="E20" s="77">
        <v>740</v>
      </c>
      <c r="G20" s="241">
        <f t="shared" si="0"/>
        <v>8250</v>
      </c>
    </row>
    <row r="21" spans="1:7" ht="21.75" customHeight="1">
      <c r="A21" s="67" t="s">
        <v>280</v>
      </c>
      <c r="B21" s="66" t="s">
        <v>275</v>
      </c>
      <c r="C21" s="68">
        <v>4000</v>
      </c>
      <c r="D21" s="69">
        <f>1150+250+450+1750</f>
        <v>3600</v>
      </c>
      <c r="E21" s="77">
        <v>0</v>
      </c>
      <c r="G21" s="241">
        <f t="shared" si="0"/>
        <v>400</v>
      </c>
    </row>
    <row r="22" spans="1:7" ht="21.75" customHeight="1">
      <c r="A22" s="67" t="s">
        <v>281</v>
      </c>
      <c r="B22" s="63">
        <v>41220009</v>
      </c>
      <c r="C22" s="78">
        <v>1000</v>
      </c>
      <c r="D22" s="69">
        <f>17.9+169.9+123.7+139.7+18+316.5+132.75+155.5+23.7+2.05</f>
        <v>1099.7</v>
      </c>
      <c r="E22" s="77">
        <v>2.05</v>
      </c>
      <c r="G22" s="241">
        <f t="shared" si="0"/>
        <v>-99.70000000000005</v>
      </c>
    </row>
    <row r="23" spans="1:7" ht="21.75" customHeight="1">
      <c r="A23" s="67" t="s">
        <v>282</v>
      </c>
      <c r="B23" s="79">
        <v>41220010</v>
      </c>
      <c r="C23" s="68">
        <v>30000</v>
      </c>
      <c r="D23" s="69">
        <v>0</v>
      </c>
      <c r="E23" s="69">
        <v>0</v>
      </c>
      <c r="G23" s="241"/>
    </row>
    <row r="24" spans="1:7" ht="21.75" customHeight="1">
      <c r="A24" s="67" t="s">
        <v>217</v>
      </c>
      <c r="B24" s="66" t="s">
        <v>276</v>
      </c>
      <c r="C24" s="68">
        <v>200</v>
      </c>
      <c r="D24" s="69">
        <f>40+20+40+20</f>
        <v>120</v>
      </c>
      <c r="E24" s="69">
        <v>0</v>
      </c>
      <c r="G24" s="241">
        <f>SUM(C24-D24)</f>
        <v>80</v>
      </c>
    </row>
    <row r="25" spans="1:7" ht="21.75" customHeight="1">
      <c r="A25" s="67" t="s">
        <v>283</v>
      </c>
      <c r="B25" s="70" t="s">
        <v>242</v>
      </c>
      <c r="C25" s="78">
        <v>500</v>
      </c>
      <c r="D25" s="69">
        <v>0</v>
      </c>
      <c r="E25" s="69">
        <v>0</v>
      </c>
      <c r="G25" s="241">
        <f t="shared" si="0"/>
        <v>500</v>
      </c>
    </row>
    <row r="26" spans="1:5" ht="21.75" customHeight="1">
      <c r="A26" s="72" t="s">
        <v>17</v>
      </c>
      <c r="B26" s="66"/>
      <c r="C26" s="80">
        <f>SUM(C14:C25)</f>
        <v>2251900</v>
      </c>
      <c r="D26" s="60">
        <f>SUM(D13:D25)</f>
        <v>3015294.1200000006</v>
      </c>
      <c r="E26" s="75">
        <f>SUM(E14:E25)</f>
        <v>332177.39999999997</v>
      </c>
    </row>
    <row r="27" spans="1:5" ht="21.75" customHeight="1">
      <c r="A27" s="65" t="s">
        <v>170</v>
      </c>
      <c r="B27" s="63">
        <v>41300000</v>
      </c>
      <c r="C27" s="64"/>
      <c r="D27" s="201"/>
      <c r="E27" s="381"/>
    </row>
    <row r="28" spans="1:7" ht="21.75" customHeight="1">
      <c r="A28" s="67" t="s">
        <v>171</v>
      </c>
      <c r="B28" s="63">
        <v>41300003</v>
      </c>
      <c r="C28" s="68">
        <v>120000</v>
      </c>
      <c r="D28" s="81">
        <f>38358.71+14915.69+30601.03</f>
        <v>83875.43</v>
      </c>
      <c r="E28" s="82">
        <v>30601.03</v>
      </c>
      <c r="G28" s="197">
        <f>SUM(C28-D28)</f>
        <v>36124.57000000001</v>
      </c>
    </row>
    <row r="29" spans="1:7" ht="21.75" customHeight="1">
      <c r="A29" s="67" t="s">
        <v>295</v>
      </c>
      <c r="B29" s="66" t="s">
        <v>243</v>
      </c>
      <c r="C29" s="68">
        <v>500</v>
      </c>
      <c r="D29" s="202">
        <v>0</v>
      </c>
      <c r="E29" s="69">
        <v>0</v>
      </c>
      <c r="G29" s="197">
        <f>SUM(C29-D29)</f>
        <v>500</v>
      </c>
    </row>
    <row r="30" spans="1:5" ht="21.75" customHeight="1">
      <c r="A30" s="72" t="s">
        <v>17</v>
      </c>
      <c r="B30" s="83"/>
      <c r="C30" s="74">
        <f>SUM(C28:C29)</f>
        <v>120500</v>
      </c>
      <c r="D30" s="203">
        <f>SUM(D28:D29)</f>
        <v>83875.43</v>
      </c>
      <c r="E30" s="75">
        <f>SUM(E28:E29)</f>
        <v>30601.03</v>
      </c>
    </row>
    <row r="31" spans="1:5" ht="21.75" customHeight="1">
      <c r="A31" s="65" t="s">
        <v>172</v>
      </c>
      <c r="B31" s="63">
        <v>41400000</v>
      </c>
      <c r="C31" s="84"/>
      <c r="D31" s="204"/>
      <c r="E31" s="382"/>
    </row>
    <row r="32" spans="1:7" ht="21.75" customHeight="1">
      <c r="A32" s="85" t="s">
        <v>294</v>
      </c>
      <c r="B32" s="63">
        <v>41400006</v>
      </c>
      <c r="C32" s="86">
        <v>450000</v>
      </c>
      <c r="D32" s="69">
        <f>56412+73934+74168+93524+131236+102276</f>
        <v>531550</v>
      </c>
      <c r="E32" s="69">
        <v>102276</v>
      </c>
      <c r="G32" s="197">
        <f>SUM(C32-D32)</f>
        <v>-81550</v>
      </c>
    </row>
    <row r="33" spans="1:5" ht="21.75" customHeight="1">
      <c r="A33" s="87" t="s">
        <v>17</v>
      </c>
      <c r="B33" s="88"/>
      <c r="C33" s="74">
        <f>SUM(C32)</f>
        <v>450000</v>
      </c>
      <c r="D33" s="60">
        <f>SUM(D31:D32)</f>
        <v>531550</v>
      </c>
      <c r="E33" s="75">
        <f>SUM(E31:E32)</f>
        <v>102276</v>
      </c>
    </row>
    <row r="34" spans="1:5" ht="19.5" customHeight="1">
      <c r="A34" s="57"/>
      <c r="B34" s="89"/>
      <c r="C34" s="90"/>
      <c r="D34" s="202"/>
      <c r="E34" s="383"/>
    </row>
    <row r="35" spans="1:5" ht="19.5" customHeight="1">
      <c r="A35" s="57"/>
      <c r="B35" s="89"/>
      <c r="C35" s="90"/>
      <c r="D35" s="202"/>
      <c r="E35" s="383"/>
    </row>
    <row r="36" spans="1:5" ht="19.5" customHeight="1">
      <c r="A36" s="57"/>
      <c r="B36" s="89"/>
      <c r="C36" s="90"/>
      <c r="D36" s="202"/>
      <c r="E36" s="384" t="s">
        <v>261</v>
      </c>
    </row>
    <row r="37" spans="1:5" ht="21.75" customHeight="1">
      <c r="A37" s="61" t="s">
        <v>19</v>
      </c>
      <c r="B37" s="59" t="s">
        <v>2</v>
      </c>
      <c r="C37" s="60" t="s">
        <v>24</v>
      </c>
      <c r="D37" s="200" t="s">
        <v>163</v>
      </c>
      <c r="E37" s="61" t="s">
        <v>164</v>
      </c>
    </row>
    <row r="38" spans="1:5" ht="21.75" customHeight="1">
      <c r="A38" s="65" t="s">
        <v>173</v>
      </c>
      <c r="B38" s="63">
        <v>41500000</v>
      </c>
      <c r="C38" s="64"/>
      <c r="D38" s="202"/>
      <c r="E38" s="385" t="s">
        <v>16</v>
      </c>
    </row>
    <row r="39" spans="1:5" ht="21.75" customHeight="1">
      <c r="A39" s="67" t="s">
        <v>340</v>
      </c>
      <c r="B39" s="66" t="s">
        <v>245</v>
      </c>
      <c r="C39" s="68">
        <v>500</v>
      </c>
      <c r="D39" s="82">
        <v>0</v>
      </c>
      <c r="E39" s="82">
        <v>0</v>
      </c>
    </row>
    <row r="40" spans="1:5" ht="21.75" customHeight="1">
      <c r="A40" s="67" t="s">
        <v>338</v>
      </c>
      <c r="B40" s="66" t="s">
        <v>284</v>
      </c>
      <c r="C40" s="68">
        <v>320000</v>
      </c>
      <c r="D40" s="202">
        <v>0</v>
      </c>
      <c r="E40" s="82">
        <v>0</v>
      </c>
    </row>
    <row r="41" spans="1:5" ht="21.75" customHeight="1">
      <c r="A41" s="67" t="s">
        <v>339</v>
      </c>
      <c r="B41" s="66" t="s">
        <v>244</v>
      </c>
      <c r="C41" s="68">
        <v>10000</v>
      </c>
      <c r="D41" s="202">
        <f>17099.76+7366.11+10000+17948.08</f>
        <v>52413.95</v>
      </c>
      <c r="E41" s="82">
        <v>0</v>
      </c>
    </row>
    <row r="42" spans="1:5" ht="21.75" customHeight="1">
      <c r="A42" s="67" t="s">
        <v>296</v>
      </c>
      <c r="B42" s="66" t="s">
        <v>244</v>
      </c>
      <c r="C42" s="68"/>
      <c r="D42" s="202">
        <f>1050</f>
        <v>1050</v>
      </c>
      <c r="E42" s="82">
        <v>0</v>
      </c>
    </row>
    <row r="43" spans="1:5" ht="21.75" customHeight="1">
      <c r="A43" s="72" t="s">
        <v>17</v>
      </c>
      <c r="B43" s="83"/>
      <c r="C43" s="74">
        <f>SUM(C39:C41)</f>
        <v>330500</v>
      </c>
      <c r="D43" s="203">
        <f>SUM(D40:D42)</f>
        <v>53463.95</v>
      </c>
      <c r="E43" s="75">
        <f>SUM(E40:E42)</f>
        <v>0</v>
      </c>
    </row>
    <row r="44" spans="1:5" ht="21.75" customHeight="1">
      <c r="A44" s="65" t="s">
        <v>198</v>
      </c>
      <c r="B44" s="63">
        <v>41600000</v>
      </c>
      <c r="C44" s="64"/>
      <c r="D44" s="202"/>
      <c r="E44" s="385" t="s">
        <v>16</v>
      </c>
    </row>
    <row r="45" spans="1:7" ht="21.75" customHeight="1">
      <c r="A45" s="67" t="s">
        <v>199</v>
      </c>
      <c r="B45" s="66" t="s">
        <v>285</v>
      </c>
      <c r="C45" s="68">
        <v>4000</v>
      </c>
      <c r="D45" s="202">
        <f>205</f>
        <v>205</v>
      </c>
      <c r="E45" s="82">
        <v>0</v>
      </c>
      <c r="G45" s="197">
        <f>SUM(C45-D45)</f>
        <v>3795</v>
      </c>
    </row>
    <row r="46" spans="1:5" ht="21.75" customHeight="1">
      <c r="A46" s="72" t="s">
        <v>17</v>
      </c>
      <c r="B46" s="83"/>
      <c r="C46" s="74">
        <f>SUM(C45:C45)</f>
        <v>4000</v>
      </c>
      <c r="D46" s="203">
        <f>SUM(D45:D45)</f>
        <v>205</v>
      </c>
      <c r="E46" s="75">
        <f>SUM(E45:E45)</f>
        <v>0</v>
      </c>
    </row>
    <row r="47" spans="1:5" ht="21.75" customHeight="1">
      <c r="A47" s="91" t="s">
        <v>174</v>
      </c>
      <c r="B47" s="89"/>
      <c r="C47" s="64"/>
      <c r="D47" s="75">
        <f>SUM(D12+D26+D30+D33+D43+D46)</f>
        <v>4300945.590000001</v>
      </c>
      <c r="E47" s="75">
        <f>SUM(E12+E26+E30+E33+E43+E46)</f>
        <v>465798.05999999994</v>
      </c>
    </row>
    <row r="48" spans="1:5" ht="21.75" customHeight="1">
      <c r="A48" s="92" t="s">
        <v>300</v>
      </c>
      <c r="B48" s="63">
        <v>42000000</v>
      </c>
      <c r="C48" s="68"/>
      <c r="D48" s="81"/>
      <c r="E48" s="67"/>
    </row>
    <row r="49" spans="1:5" ht="21.75" customHeight="1">
      <c r="A49" s="65" t="s">
        <v>189</v>
      </c>
      <c r="B49" s="63">
        <v>42100000</v>
      </c>
      <c r="C49" s="93"/>
      <c r="D49" s="205"/>
      <c r="E49" s="386"/>
    </row>
    <row r="50" spans="1:7" ht="21.75" customHeight="1">
      <c r="A50" s="85" t="s">
        <v>175</v>
      </c>
      <c r="B50" s="63">
        <v>42100001</v>
      </c>
      <c r="C50" s="94">
        <v>420000</v>
      </c>
      <c r="D50" s="82">
        <f>73142.27+27149.26+23854.83+38970.8+34277.74+32784.6+38393.97+29366.75+35129</f>
        <v>333069.22</v>
      </c>
      <c r="E50" s="387">
        <v>35129</v>
      </c>
      <c r="G50" s="241"/>
    </row>
    <row r="51" spans="1:7" ht="21.75" customHeight="1">
      <c r="A51" s="67" t="s">
        <v>341</v>
      </c>
      <c r="B51" s="63">
        <v>42100002</v>
      </c>
      <c r="C51" s="86">
        <v>7500000</v>
      </c>
      <c r="D51" s="82">
        <f>737787.8+757969.88+739663.09+529258+721013.53+699699.79+726735.13+680565.83+648026.74+602874.16</f>
        <v>6843593.95</v>
      </c>
      <c r="E51" s="387">
        <v>602874.16</v>
      </c>
      <c r="G51" s="241"/>
    </row>
    <row r="52" spans="1:7" ht="21.75" customHeight="1">
      <c r="A52" s="67" t="s">
        <v>258</v>
      </c>
      <c r="B52" s="63">
        <v>42100004</v>
      </c>
      <c r="C52" s="86">
        <v>1700000</v>
      </c>
      <c r="D52" s="69">
        <f>98829.88+144867.31+164228.3+144352.72+315348.01+174988.31+121948.62+240656.07+91829.86</f>
        <v>1497049.08</v>
      </c>
      <c r="E52" s="387">
        <v>91829.86</v>
      </c>
      <c r="G52" s="241"/>
    </row>
    <row r="53" spans="1:7" ht="21.75" customHeight="1">
      <c r="A53" s="67" t="s">
        <v>176</v>
      </c>
      <c r="B53" s="63">
        <v>42100005</v>
      </c>
      <c r="C53" s="86">
        <v>50000</v>
      </c>
      <c r="D53" s="82">
        <f>16088.23+14534.64</f>
        <v>30622.87</v>
      </c>
      <c r="E53" s="387">
        <v>0</v>
      </c>
      <c r="G53" s="241"/>
    </row>
    <row r="54" spans="1:7" ht="21.75" customHeight="1">
      <c r="A54" s="67" t="s">
        <v>177</v>
      </c>
      <c r="B54" s="63">
        <v>42100006</v>
      </c>
      <c r="C54" s="86">
        <v>0</v>
      </c>
      <c r="D54" s="69">
        <v>0</v>
      </c>
      <c r="E54" s="388">
        <v>0</v>
      </c>
      <c r="G54" s="241"/>
    </row>
    <row r="55" spans="1:7" ht="21.75" customHeight="1">
      <c r="A55" s="67" t="s">
        <v>178</v>
      </c>
      <c r="B55" s="63">
        <v>42100007</v>
      </c>
      <c r="C55" s="86">
        <v>3600000</v>
      </c>
      <c r="D55" s="69">
        <f>301859.26+296070.85+335856.84+310045.2+701310.69+354721.07+333673.09+354223.18+310820.93</f>
        <v>3298581.11</v>
      </c>
      <c r="E55" s="388">
        <v>310820.93</v>
      </c>
      <c r="G55" s="241"/>
    </row>
    <row r="56" spans="1:7" ht="21.75" customHeight="1">
      <c r="A56" s="67" t="s">
        <v>200</v>
      </c>
      <c r="B56" s="63">
        <v>42100012</v>
      </c>
      <c r="C56" s="86">
        <v>70000</v>
      </c>
      <c r="D56" s="77">
        <f>24987.03+27353.35+26748.44</f>
        <v>79088.81999999999</v>
      </c>
      <c r="E56" s="389">
        <v>0</v>
      </c>
      <c r="G56" s="241"/>
    </row>
    <row r="57" spans="1:7" ht="21.75" customHeight="1">
      <c r="A57" s="67" t="s">
        <v>204</v>
      </c>
      <c r="B57" s="63">
        <v>42100013</v>
      </c>
      <c r="C57" s="86">
        <v>80000</v>
      </c>
      <c r="D57" s="77">
        <f>26446.92+15719.97+15556.45+16197.63</f>
        <v>73920.97</v>
      </c>
      <c r="E57" s="389">
        <v>16197.63</v>
      </c>
      <c r="G57" s="241"/>
    </row>
    <row r="58" spans="1:7" ht="21.75" customHeight="1">
      <c r="A58" s="239" t="s">
        <v>259</v>
      </c>
      <c r="B58" s="63">
        <v>42100015</v>
      </c>
      <c r="C58" s="68">
        <v>760000</v>
      </c>
      <c r="D58" s="77">
        <f>30582+56913+30739+77175+38804+34641+48437+7211+21489</f>
        <v>345991</v>
      </c>
      <c r="E58" s="389">
        <v>21489</v>
      </c>
      <c r="G58" s="241"/>
    </row>
    <row r="59" spans="1:7" ht="21.75" customHeight="1">
      <c r="A59" s="67" t="s">
        <v>359</v>
      </c>
      <c r="B59" s="63">
        <v>42199999</v>
      </c>
      <c r="C59" s="95">
        <v>1000</v>
      </c>
      <c r="D59" s="182">
        <v>0</v>
      </c>
      <c r="E59" s="182">
        <v>0</v>
      </c>
      <c r="G59" s="241"/>
    </row>
    <row r="60" spans="1:7" ht="21.75" customHeight="1">
      <c r="A60" s="72" t="s">
        <v>17</v>
      </c>
      <c r="B60" s="83"/>
      <c r="C60" s="257">
        <f>SUM(C50:C59)</f>
        <v>14181000</v>
      </c>
      <c r="D60" s="356">
        <f>SUM(D50:D59)</f>
        <v>12501917.02</v>
      </c>
      <c r="E60" s="357">
        <f>SUM(E50:E59)</f>
        <v>1078340.5799999998</v>
      </c>
      <c r="G60" s="232"/>
    </row>
    <row r="61" spans="1:5" ht="21.75" customHeight="1">
      <c r="A61" s="91" t="s">
        <v>179</v>
      </c>
      <c r="B61" s="89"/>
      <c r="C61" s="258"/>
      <c r="D61" s="357">
        <f>SUM(D47+D60)</f>
        <v>16802862.61</v>
      </c>
      <c r="E61" s="357">
        <f>SUM(E47+E60)</f>
        <v>1544138.6399999997</v>
      </c>
    </row>
    <row r="62" spans="1:5" ht="21.75" customHeight="1">
      <c r="A62" s="92" t="s">
        <v>286</v>
      </c>
      <c r="B62" s="63">
        <v>43000000</v>
      </c>
      <c r="C62" s="390"/>
      <c r="D62" s="81"/>
      <c r="E62" s="67"/>
    </row>
    <row r="63" spans="1:5" ht="21.75" customHeight="1">
      <c r="A63" s="65" t="s">
        <v>193</v>
      </c>
      <c r="B63" s="63">
        <v>43100000</v>
      </c>
      <c r="C63" s="258">
        <v>15000000</v>
      </c>
      <c r="D63" s="81"/>
      <c r="E63" s="67"/>
    </row>
    <row r="64" spans="1:5" ht="21.75" customHeight="1">
      <c r="A64" s="67" t="s">
        <v>360</v>
      </c>
      <c r="B64" s="63">
        <v>43100000</v>
      </c>
      <c r="C64" s="64"/>
      <c r="D64" s="202"/>
      <c r="E64" s="82"/>
    </row>
    <row r="65" spans="1:5" ht="21.75" customHeight="1">
      <c r="A65" s="67" t="s">
        <v>433</v>
      </c>
      <c r="B65" s="63">
        <v>43100000</v>
      </c>
      <c r="C65" s="68"/>
      <c r="D65" s="69">
        <f>1447800+927200+464500+1395300+931400</f>
        <v>5166200</v>
      </c>
      <c r="E65" s="69">
        <v>931400</v>
      </c>
    </row>
    <row r="66" spans="1:5" ht="21.75" customHeight="1">
      <c r="A66" s="67" t="s">
        <v>432</v>
      </c>
      <c r="B66" s="63">
        <v>43100000</v>
      </c>
      <c r="C66" s="68"/>
      <c r="D66" s="69">
        <f>273600+268800+278400+285600</f>
        <v>1106400</v>
      </c>
      <c r="E66" s="69">
        <v>285600</v>
      </c>
    </row>
    <row r="67" spans="1:7" ht="21.75" customHeight="1">
      <c r="A67" s="67" t="s">
        <v>427</v>
      </c>
      <c r="B67" s="63">
        <v>43100000</v>
      </c>
      <c r="C67" s="68"/>
      <c r="D67" s="69">
        <f>3000+2000+1000+3000+2000</f>
        <v>11000</v>
      </c>
      <c r="E67" s="69">
        <v>2000</v>
      </c>
      <c r="G67" s="232"/>
    </row>
    <row r="68" spans="1:7" ht="21.75" customHeight="1">
      <c r="A68" s="83" t="s">
        <v>434</v>
      </c>
      <c r="B68" s="63">
        <v>43100000</v>
      </c>
      <c r="C68" s="68"/>
      <c r="D68" s="69">
        <f>532920+477780+634700+453310</f>
        <v>2098710</v>
      </c>
      <c r="E68" s="69">
        <v>453310</v>
      </c>
      <c r="F68" s="274"/>
      <c r="G68" s="232"/>
    </row>
    <row r="69" spans="1:5" ht="21.75" customHeight="1">
      <c r="A69" s="67" t="s">
        <v>393</v>
      </c>
      <c r="B69" s="63">
        <v>43100000</v>
      </c>
      <c r="C69" s="68"/>
      <c r="D69" s="69">
        <f>261800</f>
        <v>261800</v>
      </c>
      <c r="E69" s="69">
        <v>0</v>
      </c>
    </row>
    <row r="70" spans="1:7" s="231" customFormat="1" ht="21.75" customHeight="1">
      <c r="A70" s="235" t="s">
        <v>430</v>
      </c>
      <c r="B70" s="73">
        <v>43100000</v>
      </c>
      <c r="C70" s="68"/>
      <c r="D70" s="69">
        <f>200200+211480+202520+224910</f>
        <v>839110</v>
      </c>
      <c r="E70" s="69">
        <v>224910</v>
      </c>
      <c r="F70" s="272"/>
      <c r="G70" s="242" t="s">
        <v>356</v>
      </c>
    </row>
    <row r="71" spans="1:7" ht="21.75" customHeight="1">
      <c r="A71" s="236" t="s">
        <v>431</v>
      </c>
      <c r="B71" s="100">
        <v>43100000</v>
      </c>
      <c r="C71" s="101"/>
      <c r="D71" s="199">
        <f>327000+333000+330000+350860</f>
        <v>1340860</v>
      </c>
      <c r="E71" s="199">
        <v>350860</v>
      </c>
      <c r="F71" s="273"/>
      <c r="G71" s="243" t="s">
        <v>355</v>
      </c>
    </row>
    <row r="72" spans="1:6" ht="21.75" customHeight="1">
      <c r="A72" s="96"/>
      <c r="B72" s="97"/>
      <c r="C72" s="81"/>
      <c r="D72" s="206"/>
      <c r="E72" s="391" t="s">
        <v>262</v>
      </c>
      <c r="F72" s="272"/>
    </row>
    <row r="73" spans="1:5" ht="21.75" customHeight="1">
      <c r="A73" s="61" t="s">
        <v>19</v>
      </c>
      <c r="B73" s="59" t="s">
        <v>2</v>
      </c>
      <c r="C73" s="60" t="s">
        <v>24</v>
      </c>
      <c r="D73" s="200" t="s">
        <v>163</v>
      </c>
      <c r="E73" s="61" t="s">
        <v>164</v>
      </c>
    </row>
    <row r="74" spans="1:5" ht="21.75" customHeight="1">
      <c r="A74" s="65" t="s">
        <v>193</v>
      </c>
      <c r="B74" s="89"/>
      <c r="C74" s="86"/>
      <c r="D74" s="69"/>
      <c r="E74" s="388"/>
    </row>
    <row r="75" spans="1:5" ht="21.75" customHeight="1">
      <c r="A75" s="235" t="s">
        <v>428</v>
      </c>
      <c r="B75" s="63">
        <v>43100000</v>
      </c>
      <c r="C75" s="86"/>
      <c r="D75" s="69">
        <f>73772+85270+79522+89352</f>
        <v>327916</v>
      </c>
      <c r="E75" s="388">
        <v>89352</v>
      </c>
    </row>
    <row r="76" spans="1:6" ht="21.75" customHeight="1">
      <c r="A76" s="259" t="s">
        <v>429</v>
      </c>
      <c r="B76" s="63">
        <v>43100000</v>
      </c>
      <c r="C76" s="86"/>
      <c r="D76" s="69">
        <f>156649+159523+158086+163443</f>
        <v>637701</v>
      </c>
      <c r="E76" s="388">
        <v>163443</v>
      </c>
      <c r="F76" s="274"/>
    </row>
    <row r="77" spans="1:5" ht="21.75" customHeight="1">
      <c r="A77" s="67" t="s">
        <v>303</v>
      </c>
      <c r="B77" s="63">
        <v>43100000</v>
      </c>
      <c r="C77" s="86"/>
      <c r="D77" s="69">
        <v>0</v>
      </c>
      <c r="E77" s="388">
        <v>0</v>
      </c>
    </row>
    <row r="78" spans="1:6" ht="21.75" customHeight="1">
      <c r="A78" s="354" t="s">
        <v>402</v>
      </c>
      <c r="B78" s="63">
        <v>43100002</v>
      </c>
      <c r="C78" s="86"/>
      <c r="D78" s="69">
        <f>240000</f>
        <v>240000</v>
      </c>
      <c r="E78" s="388">
        <v>0</v>
      </c>
      <c r="F78" s="275"/>
    </row>
    <row r="79" spans="1:8" ht="21.75" customHeight="1">
      <c r="A79" s="260" t="s">
        <v>391</v>
      </c>
      <c r="B79" s="63">
        <v>43100002</v>
      </c>
      <c r="C79" s="86"/>
      <c r="D79" s="69">
        <f>24240</f>
        <v>24240</v>
      </c>
      <c r="E79" s="388">
        <v>0</v>
      </c>
      <c r="F79" s="272"/>
      <c r="G79" s="242"/>
      <c r="H79" s="231"/>
    </row>
    <row r="80" spans="1:7" ht="21.75" customHeight="1">
      <c r="A80" s="260" t="s">
        <v>392</v>
      </c>
      <c r="B80" s="63">
        <v>43100002</v>
      </c>
      <c r="C80" s="86"/>
      <c r="D80" s="69">
        <f>2424</f>
        <v>2424</v>
      </c>
      <c r="E80" s="388">
        <v>0</v>
      </c>
      <c r="F80" s="276"/>
      <c r="G80" s="242"/>
    </row>
    <row r="81" spans="1:7" ht="21.75" customHeight="1">
      <c r="A81" s="260" t="s">
        <v>418</v>
      </c>
      <c r="B81" s="63">
        <v>43100002</v>
      </c>
      <c r="C81" s="86"/>
      <c r="D81" s="69">
        <f>50310</f>
        <v>50310</v>
      </c>
      <c r="E81" s="388">
        <v>0</v>
      </c>
      <c r="F81" s="275"/>
      <c r="G81" s="242"/>
    </row>
    <row r="82" spans="1:7" ht="21.75" customHeight="1">
      <c r="A82" s="260" t="s">
        <v>419</v>
      </c>
      <c r="B82" s="63">
        <v>43100002</v>
      </c>
      <c r="C82" s="86"/>
      <c r="D82" s="69">
        <f>35100</f>
        <v>35100</v>
      </c>
      <c r="E82" s="388">
        <v>0</v>
      </c>
      <c r="F82" s="275"/>
      <c r="G82" s="242"/>
    </row>
    <row r="83" spans="1:7" ht="21.75" customHeight="1">
      <c r="A83" s="260" t="s">
        <v>420</v>
      </c>
      <c r="B83" s="63">
        <v>43100002</v>
      </c>
      <c r="C83" s="86"/>
      <c r="D83" s="69">
        <f>23400</f>
        <v>23400</v>
      </c>
      <c r="E83" s="388">
        <v>0</v>
      </c>
      <c r="F83" s="275"/>
      <c r="G83" s="242"/>
    </row>
    <row r="84" spans="1:7" ht="21.75" customHeight="1">
      <c r="A84" s="260" t="s">
        <v>421</v>
      </c>
      <c r="B84" s="63">
        <v>43100002</v>
      </c>
      <c r="C84" s="86"/>
      <c r="D84" s="69">
        <f>23400</f>
        <v>23400</v>
      </c>
      <c r="E84" s="388">
        <v>0</v>
      </c>
      <c r="F84" s="275"/>
      <c r="G84" s="242"/>
    </row>
    <row r="85" spans="1:6" ht="21.75" customHeight="1">
      <c r="A85" s="67" t="s">
        <v>363</v>
      </c>
      <c r="B85" s="63">
        <v>43100002</v>
      </c>
      <c r="C85" s="64"/>
      <c r="D85" s="68">
        <f>1382105+1486601</f>
        <v>2868706</v>
      </c>
      <c r="E85" s="388">
        <v>0</v>
      </c>
      <c r="F85" s="271" t="s">
        <v>389</v>
      </c>
    </row>
    <row r="86" spans="1:5" ht="21.75" customHeight="1">
      <c r="A86" s="67" t="s">
        <v>357</v>
      </c>
      <c r="B86" s="63"/>
      <c r="C86" s="64"/>
      <c r="D86" s="95"/>
      <c r="E86" s="199"/>
    </row>
    <row r="87" spans="1:5" ht="21.75" customHeight="1" thickBot="1">
      <c r="A87" s="91" t="s">
        <v>194</v>
      </c>
      <c r="B87" s="89"/>
      <c r="C87" s="257">
        <f>SUM(C63)</f>
        <v>15000000</v>
      </c>
      <c r="D87" s="358">
        <f>SUM(D64:D85)</f>
        <v>15057277</v>
      </c>
      <c r="E87" s="392">
        <f>SUM(E65:E85)</f>
        <v>2500875</v>
      </c>
    </row>
    <row r="88" spans="1:5" ht="21.75" customHeight="1">
      <c r="A88" s="98" t="s">
        <v>180</v>
      </c>
      <c r="B88" s="89"/>
      <c r="C88" s="257">
        <f>SUM(C12+C26+C30+C33+C43+C46+C60+C63)</f>
        <v>32918500</v>
      </c>
      <c r="D88" s="359">
        <f>SUM(D61+D87)</f>
        <v>31860139.61</v>
      </c>
      <c r="E88" s="359">
        <f>SUM(E61+E87)</f>
        <v>4045013.6399999997</v>
      </c>
    </row>
    <row r="89" spans="1:5" ht="21.75" customHeight="1">
      <c r="A89" s="250" t="s">
        <v>365</v>
      </c>
      <c r="B89" s="89"/>
      <c r="C89" s="64"/>
      <c r="D89" s="251"/>
      <c r="E89" s="393"/>
    </row>
    <row r="90" spans="1:5" ht="21.75" customHeight="1">
      <c r="A90" s="65" t="s">
        <v>216</v>
      </c>
      <c r="B90" s="63">
        <v>44100000</v>
      </c>
      <c r="C90" s="64"/>
      <c r="D90" s="202"/>
      <c r="E90" s="82"/>
    </row>
    <row r="91" spans="1:5" ht="21.75" customHeight="1">
      <c r="A91" s="67" t="s">
        <v>366</v>
      </c>
      <c r="B91" s="63"/>
      <c r="C91" s="68"/>
      <c r="D91" s="202"/>
      <c r="E91" s="82"/>
    </row>
    <row r="92" spans="1:6" ht="21.75" customHeight="1">
      <c r="A92" s="287" t="s">
        <v>374</v>
      </c>
      <c r="B92" s="63">
        <v>44100001</v>
      </c>
      <c r="C92" s="64"/>
      <c r="D92" s="202">
        <f>495000</f>
        <v>495000</v>
      </c>
      <c r="E92" s="82">
        <v>0</v>
      </c>
      <c r="F92" s="298" t="s">
        <v>385</v>
      </c>
    </row>
    <row r="93" spans="1:6" ht="21.75" customHeight="1">
      <c r="A93" s="288" t="s">
        <v>375</v>
      </c>
      <c r="B93" s="63">
        <v>44100002</v>
      </c>
      <c r="C93" s="64"/>
      <c r="D93" s="202">
        <f>1003126</f>
        <v>1003126</v>
      </c>
      <c r="E93" s="82">
        <v>0</v>
      </c>
      <c r="F93" s="298" t="s">
        <v>385</v>
      </c>
    </row>
    <row r="94" spans="1:6" ht="21.75" customHeight="1">
      <c r="A94" s="288" t="s">
        <v>376</v>
      </c>
      <c r="B94" s="63">
        <v>44100003</v>
      </c>
      <c r="C94" s="64"/>
      <c r="D94" s="202">
        <f>996000+996000</f>
        <v>1992000</v>
      </c>
      <c r="E94" s="82">
        <v>0</v>
      </c>
      <c r="F94" s="298" t="s">
        <v>385</v>
      </c>
    </row>
    <row r="95" spans="1:6" ht="21.75" customHeight="1">
      <c r="A95" s="287" t="s">
        <v>379</v>
      </c>
      <c r="B95" s="63">
        <v>44100004</v>
      </c>
      <c r="C95" s="68"/>
      <c r="D95" s="202">
        <f>1247500</f>
        <v>1247500</v>
      </c>
      <c r="E95" s="82">
        <v>0</v>
      </c>
      <c r="F95" s="298" t="s">
        <v>385</v>
      </c>
    </row>
    <row r="96" spans="1:6" ht="21.75" customHeight="1">
      <c r="A96" s="289" t="s">
        <v>377</v>
      </c>
      <c r="B96" s="63">
        <v>44100005</v>
      </c>
      <c r="C96" s="68"/>
      <c r="D96" s="202">
        <f>400000</f>
        <v>400000</v>
      </c>
      <c r="E96" s="82">
        <v>0</v>
      </c>
      <c r="F96" s="298" t="s">
        <v>385</v>
      </c>
    </row>
    <row r="97" spans="1:6" ht="21.75" customHeight="1">
      <c r="A97" s="289" t="s">
        <v>378</v>
      </c>
      <c r="B97" s="63">
        <v>44100006</v>
      </c>
      <c r="C97" s="68"/>
      <c r="D97" s="202">
        <f>1297192</f>
        <v>1297192</v>
      </c>
      <c r="E97" s="82">
        <v>0</v>
      </c>
      <c r="F97" s="298" t="s">
        <v>385</v>
      </c>
    </row>
    <row r="98" spans="1:5" ht="21.75" customHeight="1">
      <c r="A98" s="91" t="s">
        <v>396</v>
      </c>
      <c r="B98" s="63"/>
      <c r="C98" s="64"/>
      <c r="D98" s="360">
        <f>SUM(D91:D97)</f>
        <v>6434818</v>
      </c>
      <c r="E98" s="394">
        <f>SUM(E92:E97)</f>
        <v>0</v>
      </c>
    </row>
    <row r="99" spans="1:5" ht="21.75" customHeight="1">
      <c r="A99" s="65" t="s">
        <v>410</v>
      </c>
      <c r="B99" s="63"/>
      <c r="C99" s="64"/>
      <c r="D99" s="202"/>
      <c r="E99" s="82"/>
    </row>
    <row r="100" spans="1:6" ht="21.75" customHeight="1">
      <c r="A100" s="355" t="s">
        <v>397</v>
      </c>
      <c r="B100" s="346">
        <v>44100007</v>
      </c>
      <c r="C100" s="68"/>
      <c r="D100" s="202">
        <f>30700</f>
        <v>30700</v>
      </c>
      <c r="E100" s="82">
        <v>0</v>
      </c>
      <c r="F100" s="297" t="s">
        <v>390</v>
      </c>
    </row>
    <row r="101" spans="1:5" ht="21.75" customHeight="1">
      <c r="A101" s="395" t="s">
        <v>403</v>
      </c>
      <c r="B101" s="63">
        <v>44100008</v>
      </c>
      <c r="C101" s="64"/>
      <c r="D101" s="202">
        <f>471000</f>
        <v>471000</v>
      </c>
      <c r="E101" s="82">
        <v>0</v>
      </c>
    </row>
    <row r="102" spans="1:5" ht="21.75" customHeight="1">
      <c r="A102" s="395" t="s">
        <v>404</v>
      </c>
      <c r="B102" s="63">
        <v>44100009</v>
      </c>
      <c r="C102" s="64"/>
      <c r="D102" s="202">
        <f>428000</f>
        <v>428000</v>
      </c>
      <c r="E102" s="82">
        <v>0</v>
      </c>
    </row>
    <row r="103" spans="1:5" ht="21.75" customHeight="1">
      <c r="A103" s="395" t="s">
        <v>405</v>
      </c>
      <c r="B103" s="63">
        <v>44100010</v>
      </c>
      <c r="C103" s="64"/>
      <c r="D103" s="202">
        <f>477000</f>
        <v>477000</v>
      </c>
      <c r="E103" s="82">
        <v>0</v>
      </c>
    </row>
    <row r="104" spans="1:5" ht="21.75" customHeight="1">
      <c r="A104" s="339" t="s">
        <v>406</v>
      </c>
      <c r="B104" s="63">
        <v>44100011</v>
      </c>
      <c r="C104" s="64"/>
      <c r="D104" s="202">
        <f>471000</f>
        <v>471000</v>
      </c>
      <c r="E104" s="82">
        <v>0</v>
      </c>
    </row>
    <row r="105" spans="1:5" ht="21.75" customHeight="1">
      <c r="A105" s="339" t="s">
        <v>407</v>
      </c>
      <c r="B105" s="63">
        <v>44100012</v>
      </c>
      <c r="C105" s="64"/>
      <c r="D105" s="202">
        <f>471000</f>
        <v>471000</v>
      </c>
      <c r="E105" s="82">
        <v>0</v>
      </c>
    </row>
    <row r="106" spans="1:5" ht="21.75" customHeight="1">
      <c r="A106" s="339" t="s">
        <v>408</v>
      </c>
      <c r="B106" s="63">
        <v>44100013</v>
      </c>
      <c r="C106" s="64"/>
      <c r="D106" s="205">
        <f>477000</f>
        <v>477000</v>
      </c>
      <c r="E106" s="82">
        <v>0</v>
      </c>
    </row>
    <row r="107" spans="1:5" ht="21.75" customHeight="1">
      <c r="A107" s="361" t="s">
        <v>409</v>
      </c>
      <c r="B107" s="100">
        <v>44100014</v>
      </c>
      <c r="C107" s="252"/>
      <c r="D107" s="362">
        <f>477000</f>
        <v>477000</v>
      </c>
      <c r="E107" s="396">
        <v>0</v>
      </c>
    </row>
    <row r="108" spans="1:5" ht="21.75" customHeight="1">
      <c r="A108" s="96"/>
      <c r="B108" s="97"/>
      <c r="C108" s="81"/>
      <c r="D108" s="206"/>
      <c r="E108" s="391" t="s">
        <v>263</v>
      </c>
    </row>
    <row r="109" spans="1:5" ht="21.75" customHeight="1">
      <c r="A109" s="61" t="s">
        <v>19</v>
      </c>
      <c r="B109" s="59" t="s">
        <v>2</v>
      </c>
      <c r="C109" s="60" t="s">
        <v>24</v>
      </c>
      <c r="D109" s="200" t="s">
        <v>163</v>
      </c>
      <c r="E109" s="61" t="s">
        <v>164</v>
      </c>
    </row>
    <row r="110" spans="1:5" ht="21.75" customHeight="1">
      <c r="A110" s="65" t="s">
        <v>410</v>
      </c>
      <c r="B110" s="57"/>
      <c r="C110" s="348"/>
      <c r="D110" s="57"/>
      <c r="E110" s="72"/>
    </row>
    <row r="111" spans="1:5" ht="19.5" customHeight="1">
      <c r="A111" s="347" t="s">
        <v>411</v>
      </c>
      <c r="B111" s="63">
        <v>44100015</v>
      </c>
      <c r="C111" s="64"/>
      <c r="D111" s="340">
        <f>415000</f>
        <v>415000</v>
      </c>
      <c r="E111" s="82">
        <v>0</v>
      </c>
    </row>
    <row r="112" spans="1:5" ht="19.5" customHeight="1">
      <c r="A112" s="339" t="s">
        <v>413</v>
      </c>
      <c r="B112" s="63">
        <v>44100016</v>
      </c>
      <c r="C112" s="64"/>
      <c r="D112" s="341">
        <f>471000</f>
        <v>471000</v>
      </c>
      <c r="E112" s="82">
        <v>0</v>
      </c>
    </row>
    <row r="113" spans="1:5" ht="19.5" customHeight="1">
      <c r="A113" s="339" t="s">
        <v>412</v>
      </c>
      <c r="B113" s="63">
        <v>44100017</v>
      </c>
      <c r="C113" s="68"/>
      <c r="D113" s="202">
        <f>472000</f>
        <v>472000</v>
      </c>
      <c r="E113" s="82">
        <v>0</v>
      </c>
    </row>
    <row r="114" spans="1:5" ht="19.5" customHeight="1">
      <c r="A114" s="294"/>
      <c r="B114" s="336"/>
      <c r="C114" s="68"/>
      <c r="D114" s="202"/>
      <c r="E114" s="82"/>
    </row>
    <row r="115" spans="1:5" ht="19.5" customHeight="1">
      <c r="A115" s="294"/>
      <c r="B115" s="336"/>
      <c r="C115" s="68"/>
      <c r="D115" s="202"/>
      <c r="E115" s="82"/>
    </row>
    <row r="116" spans="1:5" ht="19.5" customHeight="1">
      <c r="A116" s="294"/>
      <c r="B116" s="336"/>
      <c r="C116" s="68"/>
      <c r="D116" s="202"/>
      <c r="E116" s="82"/>
    </row>
    <row r="117" spans="1:5" ht="19.5" customHeight="1">
      <c r="A117" s="294"/>
      <c r="B117" s="336"/>
      <c r="C117" s="68"/>
      <c r="D117" s="202"/>
      <c r="E117" s="82"/>
    </row>
    <row r="118" spans="1:5" ht="19.5" customHeight="1">
      <c r="A118" s="294"/>
      <c r="B118" s="336"/>
      <c r="C118" s="68"/>
      <c r="D118" s="202"/>
      <c r="E118" s="82"/>
    </row>
    <row r="119" spans="1:5" ht="19.5" customHeight="1">
      <c r="A119" s="294"/>
      <c r="B119" s="336"/>
      <c r="C119" s="68"/>
      <c r="D119" s="202"/>
      <c r="E119" s="82"/>
    </row>
    <row r="120" spans="1:5" ht="19.5" customHeight="1">
      <c r="A120" s="294"/>
      <c r="B120" s="336"/>
      <c r="C120" s="68"/>
      <c r="D120" s="202"/>
      <c r="E120" s="82"/>
    </row>
    <row r="121" spans="1:5" ht="19.5" customHeight="1">
      <c r="A121" s="294"/>
      <c r="B121" s="336"/>
      <c r="C121" s="68"/>
      <c r="D121" s="202"/>
      <c r="E121" s="82"/>
    </row>
    <row r="122" spans="1:5" ht="19.5" customHeight="1">
      <c r="A122" s="235"/>
      <c r="B122" s="63"/>
      <c r="C122" s="64"/>
      <c r="D122" s="202"/>
      <c r="E122" s="82"/>
    </row>
    <row r="123" spans="1:5" ht="19.5" customHeight="1">
      <c r="A123" s="235"/>
      <c r="B123" s="63"/>
      <c r="C123" s="64"/>
      <c r="D123" s="202"/>
      <c r="E123" s="82"/>
    </row>
    <row r="124" spans="1:5" ht="19.5" customHeight="1">
      <c r="A124" s="235"/>
      <c r="B124" s="63"/>
      <c r="C124" s="64"/>
      <c r="D124" s="202"/>
      <c r="E124" s="82"/>
    </row>
    <row r="125" spans="1:5" ht="19.5" customHeight="1">
      <c r="A125" s="83"/>
      <c r="B125" s="63"/>
      <c r="C125" s="64"/>
      <c r="D125" s="202"/>
      <c r="E125" s="82"/>
    </row>
    <row r="126" spans="1:6" ht="19.5" customHeight="1">
      <c r="A126" s="61" t="s">
        <v>17</v>
      </c>
      <c r="B126" s="277"/>
      <c r="C126" s="253"/>
      <c r="D126" s="286">
        <f>SUM(D100:D125)</f>
        <v>4660700</v>
      </c>
      <c r="E126" s="397">
        <f>SUM(E101:E125)</f>
        <v>0</v>
      </c>
      <c r="F126" s="271">
        <v>4660700</v>
      </c>
    </row>
    <row r="127" spans="1:6" ht="19.5" customHeight="1" thickBot="1">
      <c r="A127" s="91" t="s">
        <v>181</v>
      </c>
      <c r="B127" s="99"/>
      <c r="C127" s="252"/>
      <c r="D127" s="75">
        <f>SUM(D126:D126)</f>
        <v>4660700</v>
      </c>
      <c r="E127" s="398">
        <f>SUM(E126:E126)</f>
        <v>0</v>
      </c>
      <c r="F127" s="271">
        <v>4630000</v>
      </c>
    </row>
    <row r="128" ht="19.5" customHeight="1">
      <c r="F128" s="271">
        <f>SUM(F126-F127)</f>
        <v>30700</v>
      </c>
    </row>
  </sheetData>
  <sheetProtection/>
  <mergeCells count="4">
    <mergeCell ref="A1:E1"/>
    <mergeCell ref="A2:E2"/>
    <mergeCell ref="A3:E3"/>
    <mergeCell ref="A4:E4"/>
  </mergeCells>
  <printOptions/>
  <pageMargins left="0.2362204724409449" right="0" top="0.4330708661417323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zoomScale="110" zoomScaleNormal="110" zoomScalePageLayoutView="0" workbookViewId="0" topLeftCell="A1">
      <selection activeCell="L22" sqref="L22"/>
    </sheetView>
  </sheetViews>
  <sheetFormatPr defaultColWidth="9.140625" defaultRowHeight="15"/>
  <cols>
    <col min="1" max="1" width="1.8515625" style="1" customWidth="1"/>
    <col min="2" max="2" width="15.7109375" style="1" customWidth="1"/>
    <col min="3" max="4" width="7.421875" style="1" customWidth="1"/>
    <col min="5" max="5" width="6.00390625" style="1" customWidth="1"/>
    <col min="6" max="6" width="5.8515625" style="1" customWidth="1"/>
    <col min="7" max="7" width="6.421875" style="1" customWidth="1"/>
    <col min="8" max="8" width="7.28125" style="1" customWidth="1"/>
    <col min="9" max="9" width="5.421875" style="1" customWidth="1"/>
    <col min="10" max="10" width="5.8515625" style="1" customWidth="1"/>
    <col min="11" max="11" width="6.8515625" style="130" customWidth="1"/>
    <col min="12" max="12" width="7.140625" style="1" customWidth="1"/>
    <col min="13" max="13" width="5.00390625" style="1" customWidth="1"/>
    <col min="14" max="14" width="6.28125" style="1" customWidth="1"/>
    <col min="15" max="15" width="4.421875" style="1" customWidth="1"/>
    <col min="16" max="16" width="6.421875" style="1" customWidth="1"/>
    <col min="17" max="17" width="5.8515625" style="1" customWidth="1"/>
    <col min="18" max="18" width="5.421875" style="1" customWidth="1"/>
    <col min="19" max="19" width="4.140625" style="1" customWidth="1"/>
    <col min="20" max="20" width="6.421875" style="1" customWidth="1"/>
    <col min="21" max="21" width="7.57421875" style="1" customWidth="1"/>
    <col min="22" max="22" width="9.00390625" style="1" customWidth="1"/>
    <col min="23" max="23" width="10.140625" style="2" bestFit="1" customWidth="1"/>
    <col min="24" max="16384" width="9.00390625" style="1" customWidth="1"/>
  </cols>
  <sheetData>
    <row r="1" spans="1:21" ht="14.25">
      <c r="A1" s="463" t="s">
        <v>57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</row>
    <row r="2" spans="1:21" ht="14.25">
      <c r="A2" s="463" t="s">
        <v>257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</row>
    <row r="3" spans="1:21" ht="14.25">
      <c r="A3" s="464" t="s">
        <v>436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</row>
    <row r="4" spans="1:23" s="4" customFormat="1" ht="14.25">
      <c r="A4" s="465" t="s">
        <v>59</v>
      </c>
      <c r="B4" s="466"/>
      <c r="C4" s="471" t="s">
        <v>60</v>
      </c>
      <c r="D4" s="471"/>
      <c r="E4" s="471" t="s">
        <v>61</v>
      </c>
      <c r="F4" s="471"/>
      <c r="G4" s="471" t="s">
        <v>62</v>
      </c>
      <c r="H4" s="471"/>
      <c r="I4" s="471" t="s">
        <v>63</v>
      </c>
      <c r="J4" s="471"/>
      <c r="K4" s="471" t="s">
        <v>64</v>
      </c>
      <c r="L4" s="471"/>
      <c r="M4" s="471"/>
      <c r="N4" s="113" t="s">
        <v>65</v>
      </c>
      <c r="O4" s="471" t="s">
        <v>66</v>
      </c>
      <c r="P4" s="471"/>
      <c r="Q4" s="471"/>
      <c r="R4" s="113" t="s">
        <v>67</v>
      </c>
      <c r="S4" s="113" t="s">
        <v>68</v>
      </c>
      <c r="T4" s="113" t="s">
        <v>69</v>
      </c>
      <c r="U4" s="475" t="s">
        <v>17</v>
      </c>
      <c r="W4" s="5"/>
    </row>
    <row r="5" spans="1:21" ht="14.25">
      <c r="A5" s="467"/>
      <c r="B5" s="468"/>
      <c r="C5" s="462" t="s">
        <v>70</v>
      </c>
      <c r="D5" s="462"/>
      <c r="E5" s="475" t="s">
        <v>71</v>
      </c>
      <c r="F5" s="475"/>
      <c r="G5" s="475" t="s">
        <v>72</v>
      </c>
      <c r="H5" s="475"/>
      <c r="I5" s="462" t="s">
        <v>73</v>
      </c>
      <c r="J5" s="462"/>
      <c r="K5" s="462" t="s">
        <v>74</v>
      </c>
      <c r="L5" s="462"/>
      <c r="M5" s="462"/>
      <c r="N5" s="462" t="s">
        <v>75</v>
      </c>
      <c r="O5" s="462" t="s">
        <v>76</v>
      </c>
      <c r="P5" s="462"/>
      <c r="Q5" s="462"/>
      <c r="R5" s="462" t="s">
        <v>77</v>
      </c>
      <c r="S5" s="462" t="s">
        <v>78</v>
      </c>
      <c r="T5" s="462" t="s">
        <v>79</v>
      </c>
      <c r="U5" s="475"/>
    </row>
    <row r="6" spans="1:21" ht="14.25">
      <c r="A6" s="467"/>
      <c r="B6" s="468"/>
      <c r="C6" s="462"/>
      <c r="D6" s="462"/>
      <c r="E6" s="475"/>
      <c r="F6" s="475"/>
      <c r="G6" s="475"/>
      <c r="H6" s="475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75"/>
    </row>
    <row r="7" spans="1:21" ht="14.25">
      <c r="A7" s="467"/>
      <c r="B7" s="468"/>
      <c r="C7" s="462"/>
      <c r="D7" s="462"/>
      <c r="E7" s="475"/>
      <c r="F7" s="475"/>
      <c r="G7" s="475"/>
      <c r="H7" s="475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75"/>
    </row>
    <row r="8" spans="1:23" s="4" customFormat="1" ht="14.25">
      <c r="A8" s="467"/>
      <c r="B8" s="468"/>
      <c r="C8" s="113" t="s">
        <v>80</v>
      </c>
      <c r="D8" s="113" t="s">
        <v>81</v>
      </c>
      <c r="E8" s="113" t="s">
        <v>82</v>
      </c>
      <c r="F8" s="113" t="s">
        <v>83</v>
      </c>
      <c r="G8" s="113" t="s">
        <v>84</v>
      </c>
      <c r="H8" s="113" t="s">
        <v>85</v>
      </c>
      <c r="I8" s="113" t="s">
        <v>86</v>
      </c>
      <c r="J8" s="113" t="s">
        <v>87</v>
      </c>
      <c r="K8" s="114" t="s">
        <v>88</v>
      </c>
      <c r="L8" s="113" t="s">
        <v>89</v>
      </c>
      <c r="M8" s="113" t="s">
        <v>90</v>
      </c>
      <c r="N8" s="113" t="s">
        <v>91</v>
      </c>
      <c r="O8" s="113" t="s">
        <v>92</v>
      </c>
      <c r="P8" s="113" t="s">
        <v>93</v>
      </c>
      <c r="Q8" s="113" t="s">
        <v>94</v>
      </c>
      <c r="R8" s="113" t="s">
        <v>95</v>
      </c>
      <c r="S8" s="113" t="s">
        <v>96</v>
      </c>
      <c r="T8" s="113" t="s">
        <v>97</v>
      </c>
      <c r="U8" s="475"/>
      <c r="W8" s="5"/>
    </row>
    <row r="9" spans="1:23" s="6" customFormat="1" ht="14.25">
      <c r="A9" s="467"/>
      <c r="B9" s="468"/>
      <c r="C9" s="462" t="s">
        <v>98</v>
      </c>
      <c r="D9" s="462" t="s">
        <v>99</v>
      </c>
      <c r="E9" s="462" t="s">
        <v>100</v>
      </c>
      <c r="F9" s="462" t="s">
        <v>101</v>
      </c>
      <c r="G9" s="462" t="s">
        <v>102</v>
      </c>
      <c r="H9" s="462" t="s">
        <v>103</v>
      </c>
      <c r="I9" s="462" t="s">
        <v>104</v>
      </c>
      <c r="J9" s="462" t="s">
        <v>105</v>
      </c>
      <c r="K9" s="472" t="s">
        <v>106</v>
      </c>
      <c r="L9" s="462" t="s">
        <v>107</v>
      </c>
      <c r="M9" s="462" t="s">
        <v>108</v>
      </c>
      <c r="N9" s="462" t="s">
        <v>109</v>
      </c>
      <c r="O9" s="462" t="s">
        <v>110</v>
      </c>
      <c r="P9" s="462" t="s">
        <v>111</v>
      </c>
      <c r="Q9" s="462" t="s">
        <v>112</v>
      </c>
      <c r="R9" s="462" t="s">
        <v>113</v>
      </c>
      <c r="S9" s="462" t="s">
        <v>114</v>
      </c>
      <c r="T9" s="462" t="s">
        <v>115</v>
      </c>
      <c r="U9" s="475"/>
      <c r="W9" s="5"/>
    </row>
    <row r="10" spans="1:23" s="6" customFormat="1" ht="14.25">
      <c r="A10" s="467"/>
      <c r="B10" s="468"/>
      <c r="C10" s="462"/>
      <c r="D10" s="462"/>
      <c r="E10" s="462"/>
      <c r="F10" s="462"/>
      <c r="G10" s="462"/>
      <c r="H10" s="462"/>
      <c r="I10" s="462"/>
      <c r="J10" s="462"/>
      <c r="K10" s="472"/>
      <c r="L10" s="462"/>
      <c r="M10" s="462"/>
      <c r="N10" s="462"/>
      <c r="O10" s="462"/>
      <c r="P10" s="462"/>
      <c r="Q10" s="462"/>
      <c r="R10" s="462"/>
      <c r="S10" s="462"/>
      <c r="T10" s="462"/>
      <c r="U10" s="475"/>
      <c r="W10" s="5"/>
    </row>
    <row r="11" spans="1:21" ht="14.25">
      <c r="A11" s="467"/>
      <c r="B11" s="468"/>
      <c r="C11" s="462"/>
      <c r="D11" s="462"/>
      <c r="E11" s="462"/>
      <c r="F11" s="462"/>
      <c r="G11" s="462"/>
      <c r="H11" s="462"/>
      <c r="I11" s="462"/>
      <c r="J11" s="462"/>
      <c r="K11" s="472"/>
      <c r="L11" s="462"/>
      <c r="M11" s="462"/>
      <c r="N11" s="462"/>
      <c r="O11" s="462"/>
      <c r="P11" s="462"/>
      <c r="Q11" s="462"/>
      <c r="R11" s="462"/>
      <c r="S11" s="462"/>
      <c r="T11" s="462"/>
      <c r="U11" s="475"/>
    </row>
    <row r="12" spans="1:21" ht="14.25">
      <c r="A12" s="469"/>
      <c r="B12" s="470"/>
      <c r="C12" s="462"/>
      <c r="D12" s="462"/>
      <c r="E12" s="462"/>
      <c r="F12" s="462"/>
      <c r="G12" s="462"/>
      <c r="H12" s="462"/>
      <c r="I12" s="462"/>
      <c r="J12" s="462"/>
      <c r="K12" s="472"/>
      <c r="L12" s="462"/>
      <c r="M12" s="462"/>
      <c r="N12" s="462"/>
      <c r="O12" s="462"/>
      <c r="P12" s="462"/>
      <c r="Q12" s="462"/>
      <c r="R12" s="462"/>
      <c r="S12" s="462"/>
      <c r="T12" s="462"/>
      <c r="U12" s="475"/>
    </row>
    <row r="13" spans="1:21" ht="14.25">
      <c r="A13" s="473" t="s">
        <v>382</v>
      </c>
      <c r="B13" s="474"/>
      <c r="C13" s="291"/>
      <c r="D13" s="291"/>
      <c r="E13" s="291"/>
      <c r="F13" s="291"/>
      <c r="G13" s="291"/>
      <c r="H13" s="291"/>
      <c r="I13" s="291"/>
      <c r="J13" s="291"/>
      <c r="K13" s="292"/>
      <c r="L13" s="291"/>
      <c r="M13" s="291"/>
      <c r="N13" s="291"/>
      <c r="O13" s="291"/>
      <c r="P13" s="291"/>
      <c r="Q13" s="291"/>
      <c r="R13" s="291"/>
      <c r="S13" s="291"/>
      <c r="T13" s="291"/>
      <c r="U13" s="293"/>
    </row>
    <row r="14" spans="1:21" ht="14.25">
      <c r="A14" s="115" t="s">
        <v>14</v>
      </c>
      <c r="B14" s="116"/>
      <c r="C14" s="117"/>
      <c r="D14" s="117"/>
      <c r="E14" s="117"/>
      <c r="F14" s="117"/>
      <c r="G14" s="117"/>
      <c r="H14" s="117"/>
      <c r="I14" s="117"/>
      <c r="J14" s="117"/>
      <c r="K14" s="118"/>
      <c r="L14" s="117"/>
      <c r="M14" s="117"/>
      <c r="N14" s="117"/>
      <c r="O14" s="117"/>
      <c r="P14" s="117"/>
      <c r="Q14" s="117"/>
      <c r="R14" s="117"/>
      <c r="S14" s="117"/>
      <c r="T14" s="117"/>
      <c r="U14" s="119">
        <f>SUM(C14:T14)</f>
        <v>0</v>
      </c>
    </row>
    <row r="15" spans="1:21" ht="14.25">
      <c r="A15" s="120"/>
      <c r="B15" s="254" t="s">
        <v>297</v>
      </c>
      <c r="C15" s="122"/>
      <c r="D15" s="122"/>
      <c r="E15" s="122"/>
      <c r="F15" s="122"/>
      <c r="G15" s="122"/>
      <c r="H15" s="122"/>
      <c r="I15" s="122"/>
      <c r="J15" s="122"/>
      <c r="K15" s="123"/>
      <c r="L15" s="117"/>
      <c r="M15" s="122"/>
      <c r="N15" s="122"/>
      <c r="O15" s="122"/>
      <c r="P15" s="122"/>
      <c r="Q15" s="122"/>
      <c r="R15" s="122"/>
      <c r="S15" s="122"/>
      <c r="T15" s="122"/>
      <c r="U15" s="119">
        <f>SUM(C15:T15)</f>
        <v>0</v>
      </c>
    </row>
    <row r="16" spans="1:21" ht="14.25">
      <c r="A16" s="120" t="s">
        <v>120</v>
      </c>
      <c r="B16" s="121"/>
      <c r="C16" s="119">
        <f aca="true" t="shared" si="0" ref="C16:M16">SUM(C14:C15)</f>
        <v>0</v>
      </c>
      <c r="D16" s="119">
        <f t="shared" si="0"/>
        <v>0</v>
      </c>
      <c r="E16" s="119">
        <f t="shared" si="0"/>
        <v>0</v>
      </c>
      <c r="F16" s="119">
        <f t="shared" si="0"/>
        <v>0</v>
      </c>
      <c r="G16" s="119">
        <f t="shared" si="0"/>
        <v>0</v>
      </c>
      <c r="H16" s="119">
        <f t="shared" si="0"/>
        <v>0</v>
      </c>
      <c r="I16" s="119">
        <f t="shared" si="0"/>
        <v>0</v>
      </c>
      <c r="J16" s="119">
        <f t="shared" si="0"/>
        <v>0</v>
      </c>
      <c r="K16" s="133">
        <f t="shared" si="0"/>
        <v>0</v>
      </c>
      <c r="L16" s="119">
        <v>0</v>
      </c>
      <c r="M16" s="119">
        <f t="shared" si="0"/>
        <v>0</v>
      </c>
      <c r="N16" s="119">
        <f>SUM(N14:N15)</f>
        <v>0</v>
      </c>
      <c r="O16" s="119">
        <f aca="true" t="shared" si="1" ref="O16:T16">SUM(O14:O15)</f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>SUM(C16:T16)</f>
        <v>0</v>
      </c>
    </row>
    <row r="17" spans="1:21" ht="14.25">
      <c r="A17" s="134" t="s">
        <v>121</v>
      </c>
      <c r="B17" s="135"/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36"/>
      <c r="L17" s="129">
        <f>495000+378000</f>
        <v>873000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f>SUM(C17:T17)</f>
        <v>873000</v>
      </c>
    </row>
    <row r="18" spans="1:23" ht="14.25">
      <c r="A18" s="124"/>
      <c r="B18" s="125" t="s">
        <v>160</v>
      </c>
      <c r="C18" s="126">
        <f>SUM(C16)</f>
        <v>0</v>
      </c>
      <c r="D18" s="126">
        <f aca="true" t="shared" si="2" ref="D18:U18">SUM(D16)</f>
        <v>0</v>
      </c>
      <c r="E18" s="126">
        <f t="shared" si="2"/>
        <v>0</v>
      </c>
      <c r="F18" s="126">
        <f t="shared" si="2"/>
        <v>0</v>
      </c>
      <c r="G18" s="126">
        <f t="shared" si="2"/>
        <v>0</v>
      </c>
      <c r="H18" s="126">
        <f t="shared" si="2"/>
        <v>0</v>
      </c>
      <c r="I18" s="126">
        <f t="shared" si="2"/>
        <v>0</v>
      </c>
      <c r="J18" s="126">
        <f t="shared" si="2"/>
        <v>0</v>
      </c>
      <c r="K18" s="126">
        <f t="shared" si="2"/>
        <v>0</v>
      </c>
      <c r="L18" s="126">
        <f t="shared" si="2"/>
        <v>0</v>
      </c>
      <c r="M18" s="126">
        <f t="shared" si="2"/>
        <v>0</v>
      </c>
      <c r="N18" s="126">
        <f t="shared" si="2"/>
        <v>0</v>
      </c>
      <c r="O18" s="126">
        <f t="shared" si="2"/>
        <v>0</v>
      </c>
      <c r="P18" s="126">
        <f t="shared" si="2"/>
        <v>0</v>
      </c>
      <c r="Q18" s="126">
        <f t="shared" si="2"/>
        <v>0</v>
      </c>
      <c r="R18" s="126">
        <f t="shared" si="2"/>
        <v>0</v>
      </c>
      <c r="S18" s="126">
        <f t="shared" si="2"/>
        <v>0</v>
      </c>
      <c r="T18" s="126">
        <f t="shared" si="2"/>
        <v>0</v>
      </c>
      <c r="U18" s="126">
        <f t="shared" si="2"/>
        <v>0</v>
      </c>
      <c r="W18" s="2">
        <v>1578486.41</v>
      </c>
    </row>
    <row r="19" spans="1:23" ht="14.25">
      <c r="A19" s="127"/>
      <c r="B19" s="128" t="s">
        <v>161</v>
      </c>
      <c r="C19" s="129">
        <f>SUM(C17)</f>
        <v>0</v>
      </c>
      <c r="D19" s="129">
        <f aca="true" t="shared" si="3" ref="D19:T19">SUM(D17)</f>
        <v>0</v>
      </c>
      <c r="E19" s="129">
        <f t="shared" si="3"/>
        <v>0</v>
      </c>
      <c r="F19" s="129">
        <f t="shared" si="3"/>
        <v>0</v>
      </c>
      <c r="G19" s="129">
        <f t="shared" si="3"/>
        <v>0</v>
      </c>
      <c r="H19" s="129">
        <f t="shared" si="3"/>
        <v>0</v>
      </c>
      <c r="I19" s="129">
        <f t="shared" si="3"/>
        <v>0</v>
      </c>
      <c r="J19" s="129">
        <f t="shared" si="3"/>
        <v>0</v>
      </c>
      <c r="K19" s="129" t="s">
        <v>435</v>
      </c>
      <c r="L19" s="129">
        <f>SUM(L17:L17)</f>
        <v>873000</v>
      </c>
      <c r="M19" s="129">
        <f t="shared" si="3"/>
        <v>0</v>
      </c>
      <c r="N19" s="129">
        <f t="shared" si="3"/>
        <v>0</v>
      </c>
      <c r="O19" s="129">
        <f t="shared" si="3"/>
        <v>0</v>
      </c>
      <c r="P19" s="129">
        <f t="shared" si="3"/>
        <v>0</v>
      </c>
      <c r="Q19" s="129">
        <f t="shared" si="3"/>
        <v>0</v>
      </c>
      <c r="R19" s="129">
        <f t="shared" si="3"/>
        <v>0</v>
      </c>
      <c r="S19" s="129">
        <f t="shared" si="3"/>
        <v>0</v>
      </c>
      <c r="T19" s="129">
        <f t="shared" si="3"/>
        <v>0</v>
      </c>
      <c r="U19" s="129">
        <f>SUM(U17:U17)</f>
        <v>873000</v>
      </c>
      <c r="W19" s="2">
        <f>8300+8300+8300</f>
        <v>24900</v>
      </c>
    </row>
    <row r="24" spans="2:23" ht="15" customHeight="1">
      <c r="B24" s="132"/>
      <c r="C24" s="461" t="s">
        <v>351</v>
      </c>
      <c r="D24" s="461"/>
      <c r="E24" s="461"/>
      <c r="H24" s="461" t="s">
        <v>314</v>
      </c>
      <c r="I24" s="461"/>
      <c r="J24" s="461"/>
      <c r="K24" s="1"/>
      <c r="N24" s="461" t="s">
        <v>350</v>
      </c>
      <c r="O24" s="461"/>
      <c r="P24" s="461"/>
      <c r="Q24" s="131"/>
      <c r="S24" s="2"/>
      <c r="W24" s="1"/>
    </row>
    <row r="25" spans="2:23" ht="14.25">
      <c r="B25" s="132"/>
      <c r="C25" s="461" t="s">
        <v>203</v>
      </c>
      <c r="D25" s="461"/>
      <c r="E25" s="461"/>
      <c r="H25" s="461" t="s">
        <v>203</v>
      </c>
      <c r="I25" s="461"/>
      <c r="J25" s="461"/>
      <c r="K25" s="1"/>
      <c r="N25" s="461" t="s">
        <v>293</v>
      </c>
      <c r="O25" s="461"/>
      <c r="P25" s="461"/>
      <c r="Q25" s="131"/>
      <c r="S25" s="2"/>
      <c r="W25" s="1"/>
    </row>
    <row r="26" spans="2:23" ht="14.25">
      <c r="B26" s="132"/>
      <c r="C26" s="461" t="s">
        <v>207</v>
      </c>
      <c r="D26" s="461"/>
      <c r="E26" s="461"/>
      <c r="H26" s="461" t="s">
        <v>292</v>
      </c>
      <c r="I26" s="461"/>
      <c r="J26" s="461"/>
      <c r="K26" s="1"/>
      <c r="N26" s="461" t="s">
        <v>208</v>
      </c>
      <c r="O26" s="461"/>
      <c r="P26" s="461"/>
      <c r="Q26" s="131"/>
      <c r="S26" s="2"/>
      <c r="W26" s="1"/>
    </row>
    <row r="27" spans="2:23" ht="14.25">
      <c r="B27" s="132"/>
      <c r="C27" s="461" t="s">
        <v>211</v>
      </c>
      <c r="D27" s="461"/>
      <c r="E27" s="461"/>
      <c r="K27" s="1"/>
      <c r="Q27" s="131"/>
      <c r="S27" s="2"/>
      <c r="W27" s="1"/>
    </row>
  </sheetData>
  <sheetProtection/>
  <mergeCells count="50">
    <mergeCell ref="A13:B13"/>
    <mergeCell ref="E4:F4"/>
    <mergeCell ref="G4:H4"/>
    <mergeCell ref="I4:J4"/>
    <mergeCell ref="U4:U12"/>
    <mergeCell ref="C5:D7"/>
    <mergeCell ref="E5:F7"/>
    <mergeCell ref="G5:H7"/>
    <mergeCell ref="I5:J7"/>
    <mergeCell ref="K5:M7"/>
    <mergeCell ref="N5:N7"/>
    <mergeCell ref="R5:R7"/>
    <mergeCell ref="S5:S7"/>
    <mergeCell ref="K4:M4"/>
    <mergeCell ref="O4:Q4"/>
    <mergeCell ref="T5:T7"/>
    <mergeCell ref="O5:Q7"/>
    <mergeCell ref="A1:U1"/>
    <mergeCell ref="A2:U2"/>
    <mergeCell ref="A3:U3"/>
    <mergeCell ref="A4:B12"/>
    <mergeCell ref="C4:D4"/>
    <mergeCell ref="H9:H12"/>
    <mergeCell ref="I9:I12"/>
    <mergeCell ref="J9:J12"/>
    <mergeCell ref="K9:K12"/>
    <mergeCell ref="R9:R12"/>
    <mergeCell ref="C9:C12"/>
    <mergeCell ref="D9:D12"/>
    <mergeCell ref="E9:E12"/>
    <mergeCell ref="F9:F12"/>
    <mergeCell ref="G9:G12"/>
    <mergeCell ref="S9:S12"/>
    <mergeCell ref="T9:T12"/>
    <mergeCell ref="L9:L12"/>
    <mergeCell ref="M9:M12"/>
    <mergeCell ref="N9:N12"/>
    <mergeCell ref="O9:O12"/>
    <mergeCell ref="P9:P12"/>
    <mergeCell ref="Q9:Q12"/>
    <mergeCell ref="C26:E26"/>
    <mergeCell ref="H26:J26"/>
    <mergeCell ref="N26:P26"/>
    <mergeCell ref="C27:E27"/>
    <mergeCell ref="C24:E24"/>
    <mergeCell ref="H24:J24"/>
    <mergeCell ref="N24:P24"/>
    <mergeCell ref="C25:E25"/>
    <mergeCell ref="H25:J25"/>
    <mergeCell ref="N25:P25"/>
  </mergeCells>
  <printOptions/>
  <pageMargins left="0.2" right="0.19" top="0.19" bottom="0.31496062992125984" header="0.17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73">
      <selection activeCell="L81" sqref="L81"/>
    </sheetView>
  </sheetViews>
  <sheetFormatPr defaultColWidth="9.140625" defaultRowHeight="15"/>
  <cols>
    <col min="1" max="1" width="0.9921875" style="372" customWidth="1"/>
    <col min="2" max="2" width="15.7109375" style="372" customWidth="1"/>
    <col min="3" max="3" width="6.421875" style="372" customWidth="1"/>
    <col min="4" max="4" width="7.421875" style="372" customWidth="1"/>
    <col min="5" max="5" width="6.00390625" style="372" customWidth="1"/>
    <col min="6" max="6" width="5.8515625" style="372" customWidth="1"/>
    <col min="7" max="7" width="6.421875" style="372" customWidth="1"/>
    <col min="8" max="8" width="6.57421875" style="372" customWidth="1"/>
    <col min="9" max="9" width="5.421875" style="372" customWidth="1"/>
    <col min="10" max="10" width="5.8515625" style="372" customWidth="1"/>
    <col min="11" max="11" width="6.8515625" style="439" customWidth="1"/>
    <col min="12" max="12" width="7.00390625" style="372" customWidth="1"/>
    <col min="13" max="13" width="5.00390625" style="372" customWidth="1"/>
    <col min="14" max="14" width="6.28125" style="372" customWidth="1"/>
    <col min="15" max="15" width="4.421875" style="372" customWidth="1"/>
    <col min="16" max="16" width="6.421875" style="372" customWidth="1"/>
    <col min="17" max="17" width="5.8515625" style="372" customWidth="1"/>
    <col min="18" max="18" width="5.421875" style="372" customWidth="1"/>
    <col min="19" max="19" width="4.140625" style="372" customWidth="1"/>
    <col min="20" max="20" width="6.8515625" style="372" customWidth="1"/>
    <col min="21" max="21" width="7.57421875" style="372" customWidth="1"/>
    <col min="22" max="22" width="9.00390625" style="372" customWidth="1"/>
    <col min="23" max="23" width="10.140625" style="371" bestFit="1" customWidth="1"/>
    <col min="24" max="16384" width="9.00390625" style="372" customWidth="1"/>
  </cols>
  <sheetData>
    <row r="1" spans="1:21" ht="14.25">
      <c r="A1" s="514" t="s">
        <v>57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</row>
    <row r="2" spans="1:21" ht="14.25">
      <c r="A2" s="514" t="s">
        <v>190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</row>
    <row r="3" spans="1:21" ht="14.25">
      <c r="A3" s="515" t="s">
        <v>436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</row>
    <row r="4" spans="1:23" s="400" customFormat="1" ht="14.25">
      <c r="A4" s="483" t="s">
        <v>59</v>
      </c>
      <c r="B4" s="484"/>
      <c r="C4" s="511" t="s">
        <v>60</v>
      </c>
      <c r="D4" s="513"/>
      <c r="E4" s="511" t="s">
        <v>61</v>
      </c>
      <c r="F4" s="513"/>
      <c r="G4" s="511" t="s">
        <v>62</v>
      </c>
      <c r="H4" s="513"/>
      <c r="I4" s="511" t="s">
        <v>63</v>
      </c>
      <c r="J4" s="513"/>
      <c r="K4" s="511" t="s">
        <v>64</v>
      </c>
      <c r="L4" s="512"/>
      <c r="M4" s="513"/>
      <c r="N4" s="399" t="s">
        <v>65</v>
      </c>
      <c r="O4" s="511" t="s">
        <v>66</v>
      </c>
      <c r="P4" s="512"/>
      <c r="Q4" s="513"/>
      <c r="R4" s="399" t="s">
        <v>67</v>
      </c>
      <c r="S4" s="399" t="s">
        <v>68</v>
      </c>
      <c r="T4" s="399" t="s">
        <v>69</v>
      </c>
      <c r="U4" s="493" t="s">
        <v>17</v>
      </c>
      <c r="W4" s="401"/>
    </row>
    <row r="5" spans="1:21" ht="14.25" customHeight="1">
      <c r="A5" s="485"/>
      <c r="B5" s="486"/>
      <c r="C5" s="496" t="s">
        <v>70</v>
      </c>
      <c r="D5" s="497"/>
      <c r="E5" s="502" t="s">
        <v>71</v>
      </c>
      <c r="F5" s="503"/>
      <c r="G5" s="502" t="s">
        <v>72</v>
      </c>
      <c r="H5" s="503"/>
      <c r="I5" s="496" t="s">
        <v>73</v>
      </c>
      <c r="J5" s="497"/>
      <c r="K5" s="496" t="s">
        <v>74</v>
      </c>
      <c r="L5" s="508"/>
      <c r="M5" s="497"/>
      <c r="N5" s="480" t="s">
        <v>75</v>
      </c>
      <c r="O5" s="496" t="s">
        <v>76</v>
      </c>
      <c r="P5" s="508"/>
      <c r="Q5" s="497"/>
      <c r="R5" s="480" t="s">
        <v>77</v>
      </c>
      <c r="S5" s="480" t="s">
        <v>78</v>
      </c>
      <c r="T5" s="480" t="s">
        <v>79</v>
      </c>
      <c r="U5" s="494"/>
    </row>
    <row r="6" spans="1:21" ht="14.25">
      <c r="A6" s="485"/>
      <c r="B6" s="486"/>
      <c r="C6" s="498"/>
      <c r="D6" s="499"/>
      <c r="E6" s="504"/>
      <c r="F6" s="505"/>
      <c r="G6" s="504"/>
      <c r="H6" s="505"/>
      <c r="I6" s="498"/>
      <c r="J6" s="499"/>
      <c r="K6" s="498"/>
      <c r="L6" s="509"/>
      <c r="M6" s="499"/>
      <c r="N6" s="481"/>
      <c r="O6" s="498"/>
      <c r="P6" s="509"/>
      <c r="Q6" s="499"/>
      <c r="R6" s="481"/>
      <c r="S6" s="481"/>
      <c r="T6" s="481"/>
      <c r="U6" s="494"/>
    </row>
    <row r="7" spans="1:21" ht="14.25">
      <c r="A7" s="485"/>
      <c r="B7" s="486"/>
      <c r="C7" s="500"/>
      <c r="D7" s="501"/>
      <c r="E7" s="506"/>
      <c r="F7" s="507"/>
      <c r="G7" s="506"/>
      <c r="H7" s="507"/>
      <c r="I7" s="500"/>
      <c r="J7" s="501"/>
      <c r="K7" s="500"/>
      <c r="L7" s="510"/>
      <c r="M7" s="501"/>
      <c r="N7" s="482"/>
      <c r="O7" s="500"/>
      <c r="P7" s="510"/>
      <c r="Q7" s="501"/>
      <c r="R7" s="482"/>
      <c r="S7" s="482"/>
      <c r="T7" s="482"/>
      <c r="U7" s="494"/>
    </row>
    <row r="8" spans="1:23" s="400" customFormat="1" ht="14.25">
      <c r="A8" s="485"/>
      <c r="B8" s="486"/>
      <c r="C8" s="399" t="s">
        <v>80</v>
      </c>
      <c r="D8" s="399" t="s">
        <v>81</v>
      </c>
      <c r="E8" s="399" t="s">
        <v>82</v>
      </c>
      <c r="F8" s="399" t="s">
        <v>83</v>
      </c>
      <c r="G8" s="399" t="s">
        <v>84</v>
      </c>
      <c r="H8" s="399" t="s">
        <v>85</v>
      </c>
      <c r="I8" s="399" t="s">
        <v>86</v>
      </c>
      <c r="J8" s="399" t="s">
        <v>87</v>
      </c>
      <c r="K8" s="402" t="s">
        <v>88</v>
      </c>
      <c r="L8" s="399" t="s">
        <v>89</v>
      </c>
      <c r="M8" s="399" t="s">
        <v>90</v>
      </c>
      <c r="N8" s="399" t="s">
        <v>91</v>
      </c>
      <c r="O8" s="399" t="s">
        <v>92</v>
      </c>
      <c r="P8" s="399" t="s">
        <v>93</v>
      </c>
      <c r="Q8" s="399" t="s">
        <v>94</v>
      </c>
      <c r="R8" s="399" t="s">
        <v>95</v>
      </c>
      <c r="S8" s="399" t="s">
        <v>96</v>
      </c>
      <c r="T8" s="399" t="s">
        <v>97</v>
      </c>
      <c r="U8" s="494"/>
      <c r="W8" s="401"/>
    </row>
    <row r="9" spans="1:23" s="403" customFormat="1" ht="14.25" customHeight="1">
      <c r="A9" s="485"/>
      <c r="B9" s="486"/>
      <c r="C9" s="480" t="s">
        <v>98</v>
      </c>
      <c r="D9" s="480" t="s">
        <v>99</v>
      </c>
      <c r="E9" s="480" t="s">
        <v>100</v>
      </c>
      <c r="F9" s="480" t="s">
        <v>101</v>
      </c>
      <c r="G9" s="480" t="s">
        <v>102</v>
      </c>
      <c r="H9" s="480" t="s">
        <v>103</v>
      </c>
      <c r="I9" s="480" t="s">
        <v>104</v>
      </c>
      <c r="J9" s="480" t="s">
        <v>105</v>
      </c>
      <c r="K9" s="490" t="s">
        <v>106</v>
      </c>
      <c r="L9" s="480" t="s">
        <v>107</v>
      </c>
      <c r="M9" s="480" t="s">
        <v>108</v>
      </c>
      <c r="N9" s="480" t="s">
        <v>109</v>
      </c>
      <c r="O9" s="480" t="s">
        <v>110</v>
      </c>
      <c r="P9" s="480" t="s">
        <v>111</v>
      </c>
      <c r="Q9" s="480" t="s">
        <v>112</v>
      </c>
      <c r="R9" s="480" t="s">
        <v>113</v>
      </c>
      <c r="S9" s="480" t="s">
        <v>114</v>
      </c>
      <c r="T9" s="480" t="s">
        <v>115</v>
      </c>
      <c r="U9" s="494"/>
      <c r="W9" s="401"/>
    </row>
    <row r="10" spans="1:23" s="403" customFormat="1" ht="14.25">
      <c r="A10" s="485"/>
      <c r="B10" s="486"/>
      <c r="C10" s="481"/>
      <c r="D10" s="481"/>
      <c r="E10" s="481"/>
      <c r="F10" s="481"/>
      <c r="G10" s="481"/>
      <c r="H10" s="481"/>
      <c r="I10" s="481"/>
      <c r="J10" s="481"/>
      <c r="K10" s="491"/>
      <c r="L10" s="481"/>
      <c r="M10" s="481"/>
      <c r="N10" s="481"/>
      <c r="O10" s="481"/>
      <c r="P10" s="481"/>
      <c r="Q10" s="481"/>
      <c r="R10" s="481"/>
      <c r="S10" s="481"/>
      <c r="T10" s="481"/>
      <c r="U10" s="494"/>
      <c r="W10" s="401"/>
    </row>
    <row r="11" spans="1:21" ht="14.25">
      <c r="A11" s="485"/>
      <c r="B11" s="486"/>
      <c r="C11" s="481"/>
      <c r="D11" s="481"/>
      <c r="E11" s="481"/>
      <c r="F11" s="481"/>
      <c r="G11" s="481"/>
      <c r="H11" s="481"/>
      <c r="I11" s="481"/>
      <c r="J11" s="481"/>
      <c r="K11" s="491"/>
      <c r="L11" s="481"/>
      <c r="M11" s="481"/>
      <c r="N11" s="481"/>
      <c r="O11" s="481"/>
      <c r="P11" s="481"/>
      <c r="Q11" s="481"/>
      <c r="R11" s="481"/>
      <c r="S11" s="481"/>
      <c r="T11" s="481"/>
      <c r="U11" s="494"/>
    </row>
    <row r="12" spans="1:21" ht="14.25">
      <c r="A12" s="487"/>
      <c r="B12" s="488"/>
      <c r="C12" s="482"/>
      <c r="D12" s="482"/>
      <c r="E12" s="482"/>
      <c r="F12" s="482"/>
      <c r="G12" s="482"/>
      <c r="H12" s="482"/>
      <c r="I12" s="482"/>
      <c r="J12" s="482"/>
      <c r="K12" s="492"/>
      <c r="L12" s="482"/>
      <c r="M12" s="482"/>
      <c r="N12" s="482"/>
      <c r="O12" s="482"/>
      <c r="P12" s="482"/>
      <c r="Q12" s="482"/>
      <c r="R12" s="482"/>
      <c r="S12" s="482"/>
      <c r="T12" s="482"/>
      <c r="U12" s="495"/>
    </row>
    <row r="13" spans="1:21" ht="14.25">
      <c r="A13" s="404" t="s">
        <v>115</v>
      </c>
      <c r="B13" s="405"/>
      <c r="C13" s="406"/>
      <c r="D13" s="406"/>
      <c r="E13" s="406"/>
      <c r="F13" s="406"/>
      <c r="G13" s="406"/>
      <c r="H13" s="406"/>
      <c r="I13" s="406"/>
      <c r="J13" s="406"/>
      <c r="K13" s="407"/>
      <c r="L13" s="406"/>
      <c r="M13" s="406"/>
      <c r="N13" s="406"/>
      <c r="O13" s="406"/>
      <c r="P13" s="406"/>
      <c r="Q13" s="406"/>
      <c r="R13" s="406"/>
      <c r="S13" s="406"/>
      <c r="T13" s="406"/>
      <c r="U13" s="406"/>
    </row>
    <row r="14" spans="1:22" ht="14.25">
      <c r="A14" s="366"/>
      <c r="B14" s="408" t="s">
        <v>116</v>
      </c>
      <c r="C14" s="368"/>
      <c r="D14" s="368"/>
      <c r="E14" s="368"/>
      <c r="F14" s="368"/>
      <c r="G14" s="368"/>
      <c r="H14" s="368"/>
      <c r="I14" s="368"/>
      <c r="J14" s="368"/>
      <c r="K14" s="409"/>
      <c r="L14" s="368"/>
      <c r="M14" s="368"/>
      <c r="N14" s="368"/>
      <c r="O14" s="368"/>
      <c r="P14" s="368"/>
      <c r="Q14" s="368"/>
      <c r="R14" s="368"/>
      <c r="S14" s="368"/>
      <c r="T14" s="368"/>
      <c r="U14" s="368">
        <f>SUM(C14:T14)</f>
        <v>0</v>
      </c>
      <c r="V14" s="408" t="s">
        <v>116</v>
      </c>
    </row>
    <row r="15" spans="1:22" ht="14.25">
      <c r="A15" s="366"/>
      <c r="B15" s="408" t="s">
        <v>117</v>
      </c>
      <c r="C15" s="368"/>
      <c r="D15" s="368"/>
      <c r="E15" s="368"/>
      <c r="F15" s="368"/>
      <c r="G15" s="368"/>
      <c r="H15" s="368"/>
      <c r="I15" s="368"/>
      <c r="J15" s="368"/>
      <c r="K15" s="409"/>
      <c r="L15" s="368"/>
      <c r="M15" s="368"/>
      <c r="N15" s="368"/>
      <c r="O15" s="368"/>
      <c r="P15" s="368"/>
      <c r="Q15" s="368"/>
      <c r="R15" s="368"/>
      <c r="S15" s="368"/>
      <c r="T15" s="368"/>
      <c r="U15" s="368">
        <f>SUM(C15:T15)</f>
        <v>0</v>
      </c>
      <c r="V15" s="408" t="s">
        <v>117</v>
      </c>
    </row>
    <row r="16" spans="1:22" ht="14.25">
      <c r="A16" s="366"/>
      <c r="B16" s="408" t="s">
        <v>118</v>
      </c>
      <c r="C16" s="368"/>
      <c r="D16" s="368"/>
      <c r="E16" s="368"/>
      <c r="F16" s="368"/>
      <c r="G16" s="368"/>
      <c r="H16" s="368"/>
      <c r="I16" s="368"/>
      <c r="J16" s="368"/>
      <c r="K16" s="409"/>
      <c r="L16" s="368"/>
      <c r="M16" s="368"/>
      <c r="N16" s="368"/>
      <c r="O16" s="368"/>
      <c r="P16" s="368"/>
      <c r="Q16" s="368"/>
      <c r="R16" s="368"/>
      <c r="S16" s="368"/>
      <c r="T16" s="368"/>
      <c r="U16" s="368">
        <f>SUM(C16:T16)</f>
        <v>0</v>
      </c>
      <c r="V16" s="408" t="s">
        <v>118</v>
      </c>
    </row>
    <row r="17" spans="1:22" ht="14.25">
      <c r="A17" s="366"/>
      <c r="B17" s="408" t="s">
        <v>119</v>
      </c>
      <c r="C17" s="368"/>
      <c r="D17" s="368"/>
      <c r="E17" s="368"/>
      <c r="F17" s="368"/>
      <c r="G17" s="368"/>
      <c r="H17" s="368"/>
      <c r="I17" s="368"/>
      <c r="J17" s="368"/>
      <c r="K17" s="409"/>
      <c r="L17" s="368"/>
      <c r="M17" s="368"/>
      <c r="N17" s="368"/>
      <c r="O17" s="368"/>
      <c r="P17" s="368"/>
      <c r="Q17" s="368"/>
      <c r="R17" s="368"/>
      <c r="S17" s="368"/>
      <c r="T17" s="368"/>
      <c r="U17" s="368">
        <f>SUM(C17:T17)</f>
        <v>0</v>
      </c>
      <c r="V17" s="408" t="s">
        <v>119</v>
      </c>
    </row>
    <row r="18" spans="1:21" ht="14.25">
      <c r="A18" s="410" t="s">
        <v>120</v>
      </c>
      <c r="B18" s="408"/>
      <c r="C18" s="368">
        <f aca="true" t="shared" si="0" ref="C18:U18">SUM(C14:C17)</f>
        <v>0</v>
      </c>
      <c r="D18" s="368">
        <f t="shared" si="0"/>
        <v>0</v>
      </c>
      <c r="E18" s="368">
        <f t="shared" si="0"/>
        <v>0</v>
      </c>
      <c r="F18" s="368">
        <f t="shared" si="0"/>
        <v>0</v>
      </c>
      <c r="G18" s="368">
        <f t="shared" si="0"/>
        <v>0</v>
      </c>
      <c r="H18" s="368">
        <f t="shared" si="0"/>
        <v>0</v>
      </c>
      <c r="I18" s="368">
        <f t="shared" si="0"/>
        <v>0</v>
      </c>
      <c r="J18" s="368">
        <f t="shared" si="0"/>
        <v>0</v>
      </c>
      <c r="K18" s="409">
        <f t="shared" si="0"/>
        <v>0</v>
      </c>
      <c r="L18" s="368">
        <f t="shared" si="0"/>
        <v>0</v>
      </c>
      <c r="M18" s="368">
        <f t="shared" si="0"/>
        <v>0</v>
      </c>
      <c r="N18" s="368">
        <f t="shared" si="0"/>
        <v>0</v>
      </c>
      <c r="O18" s="368">
        <f t="shared" si="0"/>
        <v>0</v>
      </c>
      <c r="P18" s="368">
        <f t="shared" si="0"/>
        <v>0</v>
      </c>
      <c r="Q18" s="368">
        <f t="shared" si="0"/>
        <v>0</v>
      </c>
      <c r="R18" s="368">
        <f t="shared" si="0"/>
        <v>0</v>
      </c>
      <c r="S18" s="368">
        <f t="shared" si="0"/>
        <v>0</v>
      </c>
      <c r="T18" s="368">
        <f t="shared" si="0"/>
        <v>0</v>
      </c>
      <c r="U18" s="368">
        <f t="shared" si="0"/>
        <v>0</v>
      </c>
    </row>
    <row r="19" spans="1:21" ht="14.25">
      <c r="A19" s="411" t="s">
        <v>121</v>
      </c>
      <c r="B19" s="412"/>
      <c r="C19" s="413"/>
      <c r="D19" s="413"/>
      <c r="E19" s="413"/>
      <c r="F19" s="413"/>
      <c r="G19" s="413"/>
      <c r="H19" s="413"/>
      <c r="I19" s="413"/>
      <c r="J19" s="413"/>
      <c r="K19" s="414"/>
      <c r="L19" s="413"/>
      <c r="M19" s="413"/>
      <c r="N19" s="413"/>
      <c r="O19" s="413"/>
      <c r="P19" s="413"/>
      <c r="Q19" s="413"/>
      <c r="R19" s="413"/>
      <c r="S19" s="413"/>
      <c r="T19" s="413">
        <v>0</v>
      </c>
      <c r="U19" s="413">
        <f>SUM(C19:T19)</f>
        <v>0</v>
      </c>
    </row>
    <row r="20" spans="1:23" ht="14.25">
      <c r="A20" s="415" t="s">
        <v>122</v>
      </c>
      <c r="B20" s="416"/>
      <c r="C20" s="417"/>
      <c r="D20" s="417"/>
      <c r="E20" s="417"/>
      <c r="F20" s="417"/>
      <c r="G20" s="417"/>
      <c r="H20" s="417"/>
      <c r="I20" s="417"/>
      <c r="J20" s="417"/>
      <c r="K20" s="418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5" t="s">
        <v>122</v>
      </c>
      <c r="W20" s="416"/>
    </row>
    <row r="21" spans="1:23" ht="14.25">
      <c r="A21" s="366"/>
      <c r="B21" s="408" t="s">
        <v>123</v>
      </c>
      <c r="C21" s="368"/>
      <c r="D21" s="368"/>
      <c r="E21" s="368"/>
      <c r="F21" s="368"/>
      <c r="G21" s="368"/>
      <c r="H21" s="368"/>
      <c r="I21" s="368"/>
      <c r="J21" s="368"/>
      <c r="K21" s="409"/>
      <c r="L21" s="368"/>
      <c r="M21" s="368"/>
      <c r="N21" s="368"/>
      <c r="O21" s="368"/>
      <c r="P21" s="368"/>
      <c r="Q21" s="368"/>
      <c r="R21" s="368"/>
      <c r="S21" s="368"/>
      <c r="T21" s="368"/>
      <c r="U21" s="368">
        <f>SUM(C21:T21)</f>
        <v>0</v>
      </c>
      <c r="V21" s="408" t="s">
        <v>123</v>
      </c>
      <c r="W21" s="408"/>
    </row>
    <row r="22" spans="1:23" ht="14.25">
      <c r="A22" s="366"/>
      <c r="B22" s="408" t="s">
        <v>124</v>
      </c>
      <c r="C22" s="368"/>
      <c r="D22" s="368"/>
      <c r="E22" s="368"/>
      <c r="F22" s="368"/>
      <c r="G22" s="368"/>
      <c r="H22" s="368"/>
      <c r="I22" s="368"/>
      <c r="J22" s="368"/>
      <c r="K22" s="409"/>
      <c r="L22" s="368"/>
      <c r="M22" s="368"/>
      <c r="N22" s="368"/>
      <c r="O22" s="368"/>
      <c r="P22" s="368"/>
      <c r="Q22" s="368"/>
      <c r="R22" s="368"/>
      <c r="S22" s="368"/>
      <c r="T22" s="368"/>
      <c r="U22" s="368">
        <f>SUM(C22:T22)</f>
        <v>0</v>
      </c>
      <c r="V22" s="408" t="s">
        <v>124</v>
      </c>
      <c r="W22" s="408"/>
    </row>
    <row r="23" spans="1:23" ht="14.25">
      <c r="A23" s="366"/>
      <c r="B23" s="408" t="s">
        <v>125</v>
      </c>
      <c r="C23" s="368"/>
      <c r="D23" s="368"/>
      <c r="E23" s="368"/>
      <c r="F23" s="368"/>
      <c r="G23" s="368"/>
      <c r="H23" s="368"/>
      <c r="I23" s="368"/>
      <c r="J23" s="368"/>
      <c r="K23" s="409"/>
      <c r="L23" s="368"/>
      <c r="M23" s="368"/>
      <c r="N23" s="368"/>
      <c r="O23" s="368"/>
      <c r="P23" s="368"/>
      <c r="Q23" s="368"/>
      <c r="R23" s="368"/>
      <c r="S23" s="368"/>
      <c r="T23" s="368"/>
      <c r="U23" s="368">
        <f>SUM(C23:T23)</f>
        <v>0</v>
      </c>
      <c r="V23" s="408" t="s">
        <v>125</v>
      </c>
      <c r="W23" s="408"/>
    </row>
    <row r="24" spans="1:23" ht="14.25">
      <c r="A24" s="410" t="s">
        <v>120</v>
      </c>
      <c r="B24" s="408"/>
      <c r="C24" s="368">
        <f aca="true" t="shared" si="1" ref="C24:U24">SUM(C21:C23)</f>
        <v>0</v>
      </c>
      <c r="D24" s="368">
        <f t="shared" si="1"/>
        <v>0</v>
      </c>
      <c r="E24" s="368">
        <f t="shared" si="1"/>
        <v>0</v>
      </c>
      <c r="F24" s="368">
        <f t="shared" si="1"/>
        <v>0</v>
      </c>
      <c r="G24" s="368">
        <f t="shared" si="1"/>
        <v>0</v>
      </c>
      <c r="H24" s="368">
        <f t="shared" si="1"/>
        <v>0</v>
      </c>
      <c r="I24" s="368">
        <f t="shared" si="1"/>
        <v>0</v>
      </c>
      <c r="J24" s="368">
        <f t="shared" si="1"/>
        <v>0</v>
      </c>
      <c r="K24" s="409">
        <f t="shared" si="1"/>
        <v>0</v>
      </c>
      <c r="L24" s="368">
        <f t="shared" si="1"/>
        <v>0</v>
      </c>
      <c r="M24" s="368">
        <f t="shared" si="1"/>
        <v>0</v>
      </c>
      <c r="N24" s="368">
        <f t="shared" si="1"/>
        <v>0</v>
      </c>
      <c r="O24" s="368">
        <f t="shared" si="1"/>
        <v>0</v>
      </c>
      <c r="P24" s="368">
        <f t="shared" si="1"/>
        <v>0</v>
      </c>
      <c r="Q24" s="368">
        <f t="shared" si="1"/>
        <v>0</v>
      </c>
      <c r="R24" s="368">
        <f t="shared" si="1"/>
        <v>0</v>
      </c>
      <c r="S24" s="368">
        <f t="shared" si="1"/>
        <v>0</v>
      </c>
      <c r="T24" s="368">
        <f t="shared" si="1"/>
        <v>0</v>
      </c>
      <c r="U24" s="368">
        <f t="shared" si="1"/>
        <v>0</v>
      </c>
      <c r="V24" s="410" t="s">
        <v>120</v>
      </c>
      <c r="W24" s="408"/>
    </row>
    <row r="25" spans="1:23" ht="14.25">
      <c r="A25" s="411" t="s">
        <v>121</v>
      </c>
      <c r="B25" s="412"/>
      <c r="C25" s="413"/>
      <c r="D25" s="413"/>
      <c r="E25" s="413"/>
      <c r="F25" s="413"/>
      <c r="G25" s="413"/>
      <c r="H25" s="413"/>
      <c r="I25" s="413"/>
      <c r="J25" s="413"/>
      <c r="K25" s="414"/>
      <c r="L25" s="413"/>
      <c r="M25" s="413"/>
      <c r="N25" s="413"/>
      <c r="O25" s="413"/>
      <c r="P25" s="413"/>
      <c r="Q25" s="413"/>
      <c r="R25" s="413"/>
      <c r="S25" s="413"/>
      <c r="T25" s="413"/>
      <c r="U25" s="413">
        <f>SUM(C25:T25)</f>
        <v>0</v>
      </c>
      <c r="V25" s="411" t="s">
        <v>121</v>
      </c>
      <c r="W25" s="412"/>
    </row>
    <row r="26" spans="1:23" ht="14.25">
      <c r="A26" s="415" t="s">
        <v>126</v>
      </c>
      <c r="B26" s="416"/>
      <c r="C26" s="417"/>
      <c r="D26" s="417"/>
      <c r="E26" s="417"/>
      <c r="F26" s="417"/>
      <c r="G26" s="417"/>
      <c r="H26" s="417"/>
      <c r="I26" s="417"/>
      <c r="J26" s="417"/>
      <c r="K26" s="418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5" t="s">
        <v>126</v>
      </c>
      <c r="W26" s="416"/>
    </row>
    <row r="27" spans="1:23" ht="14.25">
      <c r="A27" s="366"/>
      <c r="B27" s="408" t="s">
        <v>127</v>
      </c>
      <c r="C27" s="368"/>
      <c r="D27" s="368"/>
      <c r="E27" s="368"/>
      <c r="F27" s="368"/>
      <c r="G27" s="368"/>
      <c r="H27" s="368"/>
      <c r="I27" s="368"/>
      <c r="J27" s="368"/>
      <c r="K27" s="409"/>
      <c r="L27" s="368"/>
      <c r="M27" s="368"/>
      <c r="N27" s="368"/>
      <c r="O27" s="368"/>
      <c r="P27" s="368"/>
      <c r="Q27" s="368"/>
      <c r="R27" s="368"/>
      <c r="S27" s="368"/>
      <c r="T27" s="368"/>
      <c r="U27" s="368">
        <f>SUM(C27:T27)</f>
        <v>0</v>
      </c>
      <c r="V27" s="408" t="s">
        <v>127</v>
      </c>
      <c r="W27" s="408"/>
    </row>
    <row r="28" spans="1:23" ht="14.25">
      <c r="A28" s="366"/>
      <c r="B28" s="408" t="s">
        <v>128</v>
      </c>
      <c r="C28" s="368"/>
      <c r="D28" s="368"/>
      <c r="E28" s="368"/>
      <c r="F28" s="368"/>
      <c r="G28" s="368"/>
      <c r="H28" s="368"/>
      <c r="I28" s="368"/>
      <c r="J28" s="368"/>
      <c r="K28" s="409"/>
      <c r="L28" s="368"/>
      <c r="M28" s="368"/>
      <c r="N28" s="368"/>
      <c r="O28" s="368"/>
      <c r="P28" s="368"/>
      <c r="Q28" s="368"/>
      <c r="R28" s="368"/>
      <c r="S28" s="368"/>
      <c r="T28" s="368"/>
      <c r="U28" s="368">
        <f aca="true" t="shared" si="2" ref="U28:U33">SUM(C28:T28)</f>
        <v>0</v>
      </c>
      <c r="V28" s="408" t="s">
        <v>128</v>
      </c>
      <c r="W28" s="408"/>
    </row>
    <row r="29" spans="1:23" ht="14.25">
      <c r="A29" s="366"/>
      <c r="B29" s="408" t="s">
        <v>130</v>
      </c>
      <c r="C29" s="368"/>
      <c r="D29" s="368"/>
      <c r="E29" s="368"/>
      <c r="F29" s="368"/>
      <c r="G29" s="368"/>
      <c r="H29" s="368"/>
      <c r="I29" s="368"/>
      <c r="J29" s="368"/>
      <c r="K29" s="409"/>
      <c r="L29" s="368"/>
      <c r="M29" s="368"/>
      <c r="N29" s="368"/>
      <c r="O29" s="368"/>
      <c r="P29" s="368"/>
      <c r="Q29" s="368"/>
      <c r="R29" s="368"/>
      <c r="S29" s="368"/>
      <c r="T29" s="368"/>
      <c r="U29" s="368">
        <f t="shared" si="2"/>
        <v>0</v>
      </c>
      <c r="V29" s="408" t="s">
        <v>130</v>
      </c>
      <c r="W29" s="408"/>
    </row>
    <row r="30" spans="1:23" ht="14.25">
      <c r="A30" s="366"/>
      <c r="B30" s="408" t="s">
        <v>131</v>
      </c>
      <c r="C30" s="368"/>
      <c r="D30" s="368"/>
      <c r="E30" s="368"/>
      <c r="F30" s="368"/>
      <c r="G30" s="368"/>
      <c r="H30" s="368"/>
      <c r="I30" s="368"/>
      <c r="J30" s="368"/>
      <c r="K30" s="409"/>
      <c r="L30" s="368"/>
      <c r="M30" s="368"/>
      <c r="N30" s="368"/>
      <c r="O30" s="368"/>
      <c r="P30" s="368"/>
      <c r="Q30" s="368"/>
      <c r="R30" s="368"/>
      <c r="S30" s="368"/>
      <c r="T30" s="368"/>
      <c r="U30" s="368">
        <f t="shared" si="2"/>
        <v>0</v>
      </c>
      <c r="V30" s="408" t="s">
        <v>131</v>
      </c>
      <c r="W30" s="408"/>
    </row>
    <row r="31" spans="1:23" ht="14.25">
      <c r="A31" s="366"/>
      <c r="B31" s="408" t="s">
        <v>132</v>
      </c>
      <c r="C31" s="368"/>
      <c r="D31" s="368"/>
      <c r="E31" s="368"/>
      <c r="F31" s="368"/>
      <c r="G31" s="368"/>
      <c r="H31" s="368"/>
      <c r="I31" s="368"/>
      <c r="J31" s="368"/>
      <c r="K31" s="409"/>
      <c r="L31" s="368"/>
      <c r="M31" s="368"/>
      <c r="N31" s="368"/>
      <c r="O31" s="368"/>
      <c r="P31" s="368"/>
      <c r="Q31" s="368"/>
      <c r="R31" s="368"/>
      <c r="S31" s="368"/>
      <c r="T31" s="368"/>
      <c r="U31" s="368">
        <f t="shared" si="2"/>
        <v>0</v>
      </c>
      <c r="V31" s="408" t="s">
        <v>132</v>
      </c>
      <c r="W31" s="408"/>
    </row>
    <row r="32" spans="1:23" ht="14.25">
      <c r="A32" s="366"/>
      <c r="B32" s="408" t="s">
        <v>133</v>
      </c>
      <c r="C32" s="368"/>
      <c r="D32" s="368"/>
      <c r="E32" s="368"/>
      <c r="F32" s="368"/>
      <c r="G32" s="368"/>
      <c r="H32" s="368"/>
      <c r="I32" s="368"/>
      <c r="J32" s="368"/>
      <c r="K32" s="409"/>
      <c r="L32" s="368"/>
      <c r="M32" s="368"/>
      <c r="N32" s="368"/>
      <c r="O32" s="368"/>
      <c r="P32" s="368"/>
      <c r="Q32" s="368"/>
      <c r="R32" s="368"/>
      <c r="S32" s="368"/>
      <c r="T32" s="368"/>
      <c r="U32" s="368">
        <f t="shared" si="2"/>
        <v>0</v>
      </c>
      <c r="V32" s="408" t="s">
        <v>133</v>
      </c>
      <c r="W32" s="408"/>
    </row>
    <row r="33" spans="1:23" ht="14.25">
      <c r="A33" s="410" t="s">
        <v>120</v>
      </c>
      <c r="B33" s="408"/>
      <c r="C33" s="368">
        <f aca="true" t="shared" si="3" ref="C33:T33">SUM(C27:C32)</f>
        <v>0</v>
      </c>
      <c r="D33" s="368">
        <f t="shared" si="3"/>
        <v>0</v>
      </c>
      <c r="E33" s="368">
        <f t="shared" si="3"/>
        <v>0</v>
      </c>
      <c r="F33" s="368">
        <f t="shared" si="3"/>
        <v>0</v>
      </c>
      <c r="G33" s="368">
        <f t="shared" si="3"/>
        <v>0</v>
      </c>
      <c r="H33" s="368">
        <f t="shared" si="3"/>
        <v>0</v>
      </c>
      <c r="I33" s="368">
        <f t="shared" si="3"/>
        <v>0</v>
      </c>
      <c r="J33" s="368">
        <f t="shared" si="3"/>
        <v>0</v>
      </c>
      <c r="K33" s="409">
        <f t="shared" si="3"/>
        <v>0</v>
      </c>
      <c r="L33" s="368">
        <f t="shared" si="3"/>
        <v>0</v>
      </c>
      <c r="M33" s="368">
        <f t="shared" si="3"/>
        <v>0</v>
      </c>
      <c r="N33" s="368">
        <f t="shared" si="3"/>
        <v>0</v>
      </c>
      <c r="O33" s="368">
        <f t="shared" si="3"/>
        <v>0</v>
      </c>
      <c r="P33" s="368">
        <f t="shared" si="3"/>
        <v>0</v>
      </c>
      <c r="Q33" s="368">
        <f t="shared" si="3"/>
        <v>0</v>
      </c>
      <c r="R33" s="368">
        <f t="shared" si="3"/>
        <v>0</v>
      </c>
      <c r="S33" s="368">
        <f t="shared" si="3"/>
        <v>0</v>
      </c>
      <c r="T33" s="368">
        <f t="shared" si="3"/>
        <v>0</v>
      </c>
      <c r="U33" s="368">
        <f t="shared" si="2"/>
        <v>0</v>
      </c>
      <c r="V33" s="410" t="s">
        <v>120</v>
      </c>
      <c r="W33" s="408"/>
    </row>
    <row r="34" spans="1:21" ht="14.25">
      <c r="A34" s="419" t="s">
        <v>121</v>
      </c>
      <c r="B34" s="412"/>
      <c r="C34" s="413"/>
      <c r="D34" s="413"/>
      <c r="E34" s="413"/>
      <c r="F34" s="413"/>
      <c r="G34" s="413"/>
      <c r="H34" s="413"/>
      <c r="I34" s="413"/>
      <c r="J34" s="413"/>
      <c r="K34" s="414"/>
      <c r="L34" s="413"/>
      <c r="M34" s="413"/>
      <c r="N34" s="413"/>
      <c r="O34" s="413"/>
      <c r="P34" s="413"/>
      <c r="Q34" s="413"/>
      <c r="R34" s="413"/>
      <c r="S34" s="413"/>
      <c r="T34" s="413"/>
      <c r="U34" s="413">
        <f>SUM(C34:T34)</f>
        <v>0</v>
      </c>
    </row>
    <row r="35" spans="1:22" ht="15.75" customHeight="1">
      <c r="A35" s="420"/>
      <c r="B35" s="240"/>
      <c r="C35" s="421"/>
      <c r="D35" s="421"/>
      <c r="E35" s="421"/>
      <c r="F35" s="421"/>
      <c r="G35" s="421"/>
      <c r="H35" s="421"/>
      <c r="I35" s="421"/>
      <c r="J35" s="421"/>
      <c r="K35" s="422"/>
      <c r="L35" s="421"/>
      <c r="M35" s="421"/>
      <c r="N35" s="421"/>
      <c r="O35" s="421"/>
      <c r="P35" s="421"/>
      <c r="Q35" s="421"/>
      <c r="R35" s="421"/>
      <c r="S35" s="421"/>
      <c r="T35" s="421"/>
      <c r="U35" s="423" t="s">
        <v>261</v>
      </c>
      <c r="V35" s="240"/>
    </row>
    <row r="36" spans="1:23" s="400" customFormat="1" ht="12" customHeight="1">
      <c r="A36" s="483" t="s">
        <v>59</v>
      </c>
      <c r="B36" s="484"/>
      <c r="C36" s="511" t="s">
        <v>60</v>
      </c>
      <c r="D36" s="513"/>
      <c r="E36" s="511" t="s">
        <v>61</v>
      </c>
      <c r="F36" s="513"/>
      <c r="G36" s="511" t="s">
        <v>62</v>
      </c>
      <c r="H36" s="513"/>
      <c r="I36" s="511" t="s">
        <v>63</v>
      </c>
      <c r="J36" s="513"/>
      <c r="K36" s="511" t="s">
        <v>64</v>
      </c>
      <c r="L36" s="512"/>
      <c r="M36" s="513"/>
      <c r="N36" s="399" t="s">
        <v>65</v>
      </c>
      <c r="O36" s="511" t="s">
        <v>66</v>
      </c>
      <c r="P36" s="512"/>
      <c r="Q36" s="513"/>
      <c r="R36" s="399" t="s">
        <v>67</v>
      </c>
      <c r="S36" s="399" t="s">
        <v>68</v>
      </c>
      <c r="T36" s="399" t="s">
        <v>69</v>
      </c>
      <c r="U36" s="493" t="s">
        <v>17</v>
      </c>
      <c r="W36" s="401"/>
    </row>
    <row r="37" spans="1:21" ht="13.5" customHeight="1">
      <c r="A37" s="485"/>
      <c r="B37" s="486"/>
      <c r="C37" s="496" t="s">
        <v>70</v>
      </c>
      <c r="D37" s="497"/>
      <c r="E37" s="502" t="s">
        <v>71</v>
      </c>
      <c r="F37" s="503"/>
      <c r="G37" s="502" t="s">
        <v>72</v>
      </c>
      <c r="H37" s="503"/>
      <c r="I37" s="496" t="s">
        <v>73</v>
      </c>
      <c r="J37" s="497"/>
      <c r="K37" s="496" t="s">
        <v>74</v>
      </c>
      <c r="L37" s="508"/>
      <c r="M37" s="497"/>
      <c r="N37" s="480" t="s">
        <v>75</v>
      </c>
      <c r="O37" s="496" t="s">
        <v>76</v>
      </c>
      <c r="P37" s="508"/>
      <c r="Q37" s="497"/>
      <c r="R37" s="480" t="s">
        <v>77</v>
      </c>
      <c r="S37" s="480" t="s">
        <v>78</v>
      </c>
      <c r="T37" s="480" t="s">
        <v>79</v>
      </c>
      <c r="U37" s="494"/>
    </row>
    <row r="38" spans="1:21" ht="12.75" customHeight="1">
      <c r="A38" s="485"/>
      <c r="B38" s="486"/>
      <c r="C38" s="498"/>
      <c r="D38" s="499"/>
      <c r="E38" s="504"/>
      <c r="F38" s="505"/>
      <c r="G38" s="504"/>
      <c r="H38" s="505"/>
      <c r="I38" s="498"/>
      <c r="J38" s="499"/>
      <c r="K38" s="498"/>
      <c r="L38" s="509"/>
      <c r="M38" s="499"/>
      <c r="N38" s="481"/>
      <c r="O38" s="498"/>
      <c r="P38" s="509"/>
      <c r="Q38" s="499"/>
      <c r="R38" s="481"/>
      <c r="S38" s="481"/>
      <c r="T38" s="481"/>
      <c r="U38" s="494"/>
    </row>
    <row r="39" spans="1:21" ht="13.5" customHeight="1">
      <c r="A39" s="485"/>
      <c r="B39" s="486"/>
      <c r="C39" s="500"/>
      <c r="D39" s="501"/>
      <c r="E39" s="506"/>
      <c r="F39" s="507"/>
      <c r="G39" s="506"/>
      <c r="H39" s="507"/>
      <c r="I39" s="500"/>
      <c r="J39" s="501"/>
      <c r="K39" s="500"/>
      <c r="L39" s="510"/>
      <c r="M39" s="501"/>
      <c r="N39" s="482"/>
      <c r="O39" s="500"/>
      <c r="P39" s="510"/>
      <c r="Q39" s="501"/>
      <c r="R39" s="482"/>
      <c r="S39" s="482"/>
      <c r="T39" s="482"/>
      <c r="U39" s="494"/>
    </row>
    <row r="40" spans="1:23" s="400" customFormat="1" ht="13.5" customHeight="1">
      <c r="A40" s="485"/>
      <c r="B40" s="486"/>
      <c r="C40" s="399" t="s">
        <v>80</v>
      </c>
      <c r="D40" s="399" t="s">
        <v>81</v>
      </c>
      <c r="E40" s="399" t="s">
        <v>82</v>
      </c>
      <c r="F40" s="399" t="s">
        <v>83</v>
      </c>
      <c r="G40" s="399" t="s">
        <v>84</v>
      </c>
      <c r="H40" s="399" t="s">
        <v>85</v>
      </c>
      <c r="I40" s="399" t="s">
        <v>86</v>
      </c>
      <c r="J40" s="399" t="s">
        <v>87</v>
      </c>
      <c r="K40" s="402" t="s">
        <v>88</v>
      </c>
      <c r="L40" s="399" t="s">
        <v>89</v>
      </c>
      <c r="M40" s="399" t="s">
        <v>90</v>
      </c>
      <c r="N40" s="399" t="s">
        <v>91</v>
      </c>
      <c r="O40" s="399" t="s">
        <v>92</v>
      </c>
      <c r="P40" s="399" t="s">
        <v>93</v>
      </c>
      <c r="Q40" s="399" t="s">
        <v>94</v>
      </c>
      <c r="R40" s="399" t="s">
        <v>95</v>
      </c>
      <c r="S40" s="399" t="s">
        <v>96</v>
      </c>
      <c r="T40" s="399" t="s">
        <v>97</v>
      </c>
      <c r="U40" s="494"/>
      <c r="W40" s="401"/>
    </row>
    <row r="41" spans="1:23" s="403" customFormat="1" ht="13.5" customHeight="1">
      <c r="A41" s="485"/>
      <c r="B41" s="486"/>
      <c r="C41" s="480" t="s">
        <v>98</v>
      </c>
      <c r="D41" s="480" t="s">
        <v>99</v>
      </c>
      <c r="E41" s="480" t="s">
        <v>100</v>
      </c>
      <c r="F41" s="480" t="s">
        <v>101</v>
      </c>
      <c r="G41" s="480" t="s">
        <v>102</v>
      </c>
      <c r="H41" s="480" t="s">
        <v>103</v>
      </c>
      <c r="I41" s="480" t="s">
        <v>104</v>
      </c>
      <c r="J41" s="480" t="s">
        <v>105</v>
      </c>
      <c r="K41" s="490" t="s">
        <v>106</v>
      </c>
      <c r="L41" s="480" t="s">
        <v>107</v>
      </c>
      <c r="M41" s="480" t="s">
        <v>108</v>
      </c>
      <c r="N41" s="480" t="s">
        <v>109</v>
      </c>
      <c r="O41" s="480" t="s">
        <v>110</v>
      </c>
      <c r="P41" s="480" t="s">
        <v>111</v>
      </c>
      <c r="Q41" s="480" t="s">
        <v>112</v>
      </c>
      <c r="R41" s="480" t="s">
        <v>113</v>
      </c>
      <c r="S41" s="480" t="s">
        <v>114</v>
      </c>
      <c r="T41" s="480" t="s">
        <v>115</v>
      </c>
      <c r="U41" s="494"/>
      <c r="W41" s="401"/>
    </row>
    <row r="42" spans="1:23" s="403" customFormat="1" ht="13.5" customHeight="1">
      <c r="A42" s="485"/>
      <c r="B42" s="486"/>
      <c r="C42" s="481"/>
      <c r="D42" s="481"/>
      <c r="E42" s="481"/>
      <c r="F42" s="481"/>
      <c r="G42" s="481"/>
      <c r="H42" s="481"/>
      <c r="I42" s="481"/>
      <c r="J42" s="481"/>
      <c r="K42" s="491"/>
      <c r="L42" s="481"/>
      <c r="M42" s="481"/>
      <c r="N42" s="481"/>
      <c r="O42" s="481"/>
      <c r="P42" s="481"/>
      <c r="Q42" s="481"/>
      <c r="R42" s="481"/>
      <c r="S42" s="481"/>
      <c r="T42" s="481"/>
      <c r="U42" s="494"/>
      <c r="W42" s="401"/>
    </row>
    <row r="43" spans="1:21" ht="13.5" customHeight="1">
      <c r="A43" s="485"/>
      <c r="B43" s="486"/>
      <c r="C43" s="481"/>
      <c r="D43" s="481"/>
      <c r="E43" s="481"/>
      <c r="F43" s="481"/>
      <c r="G43" s="481"/>
      <c r="H43" s="481"/>
      <c r="I43" s="481"/>
      <c r="J43" s="481"/>
      <c r="K43" s="491"/>
      <c r="L43" s="481"/>
      <c r="M43" s="481"/>
      <c r="N43" s="481"/>
      <c r="O43" s="481"/>
      <c r="P43" s="481"/>
      <c r="Q43" s="481"/>
      <c r="R43" s="481"/>
      <c r="S43" s="481"/>
      <c r="T43" s="481"/>
      <c r="U43" s="494"/>
    </row>
    <row r="44" spans="1:21" ht="15" customHeight="1">
      <c r="A44" s="487"/>
      <c r="B44" s="488"/>
      <c r="C44" s="482"/>
      <c r="D44" s="482"/>
      <c r="E44" s="482"/>
      <c r="F44" s="482"/>
      <c r="G44" s="482"/>
      <c r="H44" s="482"/>
      <c r="I44" s="482"/>
      <c r="J44" s="482"/>
      <c r="K44" s="492"/>
      <c r="L44" s="482"/>
      <c r="M44" s="482"/>
      <c r="N44" s="482"/>
      <c r="O44" s="482"/>
      <c r="P44" s="482"/>
      <c r="Q44" s="482"/>
      <c r="R44" s="482"/>
      <c r="S44" s="482"/>
      <c r="T44" s="482"/>
      <c r="U44" s="495"/>
    </row>
    <row r="45" spans="1:23" ht="13.5" customHeight="1">
      <c r="A45" s="404" t="s">
        <v>8</v>
      </c>
      <c r="B45" s="405"/>
      <c r="C45" s="406"/>
      <c r="D45" s="406"/>
      <c r="E45" s="406"/>
      <c r="F45" s="406"/>
      <c r="G45" s="406"/>
      <c r="H45" s="406"/>
      <c r="I45" s="406"/>
      <c r="J45" s="406"/>
      <c r="K45" s="407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4" t="s">
        <v>8</v>
      </c>
      <c r="W45" s="405"/>
    </row>
    <row r="46" spans="1:23" ht="13.5" customHeight="1">
      <c r="A46" s="366"/>
      <c r="B46" s="408" t="s">
        <v>135</v>
      </c>
      <c r="C46" s="368"/>
      <c r="D46" s="368"/>
      <c r="E46" s="368"/>
      <c r="F46" s="368"/>
      <c r="G46" s="368"/>
      <c r="H46" s="368"/>
      <c r="I46" s="368"/>
      <c r="J46" s="368"/>
      <c r="K46" s="409"/>
      <c r="L46" s="368"/>
      <c r="M46" s="368"/>
      <c r="N46" s="368"/>
      <c r="O46" s="368"/>
      <c r="P46" s="368"/>
      <c r="Q46" s="368"/>
      <c r="R46" s="368"/>
      <c r="S46" s="368"/>
      <c r="T46" s="368"/>
      <c r="U46" s="368">
        <f aca="true" t="shared" si="4" ref="U46:U51">SUM(C46:T46)</f>
        <v>0</v>
      </c>
      <c r="V46" s="408" t="s">
        <v>135</v>
      </c>
      <c r="W46" s="408"/>
    </row>
    <row r="47" spans="1:23" ht="13.5" customHeight="1">
      <c r="A47" s="366"/>
      <c r="B47" s="408" t="s">
        <v>137</v>
      </c>
      <c r="C47" s="368"/>
      <c r="D47" s="368"/>
      <c r="E47" s="368"/>
      <c r="F47" s="368"/>
      <c r="G47" s="368"/>
      <c r="H47" s="368"/>
      <c r="I47" s="368"/>
      <c r="J47" s="368"/>
      <c r="K47" s="409"/>
      <c r="L47" s="368"/>
      <c r="M47" s="368"/>
      <c r="N47" s="368"/>
      <c r="O47" s="368"/>
      <c r="P47" s="368"/>
      <c r="Q47" s="368"/>
      <c r="R47" s="368"/>
      <c r="S47" s="368"/>
      <c r="T47" s="368"/>
      <c r="U47" s="368">
        <f t="shared" si="4"/>
        <v>0</v>
      </c>
      <c r="V47" s="408" t="s">
        <v>137</v>
      </c>
      <c r="W47" s="408"/>
    </row>
    <row r="48" spans="1:23" ht="13.5" customHeight="1">
      <c r="A48" s="366"/>
      <c r="B48" s="408" t="s">
        <v>138</v>
      </c>
      <c r="C48" s="368"/>
      <c r="D48" s="368"/>
      <c r="E48" s="368"/>
      <c r="F48" s="368"/>
      <c r="G48" s="368"/>
      <c r="H48" s="368"/>
      <c r="I48" s="368"/>
      <c r="J48" s="368"/>
      <c r="K48" s="409"/>
      <c r="L48" s="368"/>
      <c r="M48" s="368"/>
      <c r="N48" s="368"/>
      <c r="O48" s="368"/>
      <c r="P48" s="368"/>
      <c r="Q48" s="368"/>
      <c r="R48" s="368"/>
      <c r="S48" s="368"/>
      <c r="T48" s="368"/>
      <c r="U48" s="368">
        <f t="shared" si="4"/>
        <v>0</v>
      </c>
      <c r="V48" s="408" t="s">
        <v>138</v>
      </c>
      <c r="W48" s="408"/>
    </row>
    <row r="49" spans="1:23" ht="13.5" customHeight="1">
      <c r="A49" s="366"/>
      <c r="B49" s="408" t="s">
        <v>139</v>
      </c>
      <c r="C49" s="368"/>
      <c r="D49" s="368"/>
      <c r="E49" s="368"/>
      <c r="F49" s="368"/>
      <c r="G49" s="368"/>
      <c r="H49" s="368"/>
      <c r="I49" s="368"/>
      <c r="J49" s="368"/>
      <c r="K49" s="409"/>
      <c r="L49" s="368"/>
      <c r="M49" s="368"/>
      <c r="N49" s="368"/>
      <c r="O49" s="368"/>
      <c r="P49" s="368"/>
      <c r="Q49" s="368"/>
      <c r="R49" s="368"/>
      <c r="S49" s="368"/>
      <c r="T49" s="368"/>
      <c r="U49" s="368">
        <f t="shared" si="4"/>
        <v>0</v>
      </c>
      <c r="V49" s="408" t="s">
        <v>139</v>
      </c>
      <c r="W49" s="408"/>
    </row>
    <row r="50" spans="1:23" ht="13.5" customHeight="1">
      <c r="A50" s="410" t="s">
        <v>120</v>
      </c>
      <c r="B50" s="408"/>
      <c r="C50" s="368">
        <f aca="true" t="shared" si="5" ref="C50:T50">SUM(C46:C49)</f>
        <v>0</v>
      </c>
      <c r="D50" s="368">
        <f t="shared" si="5"/>
        <v>0</v>
      </c>
      <c r="E50" s="368">
        <f t="shared" si="5"/>
        <v>0</v>
      </c>
      <c r="F50" s="368">
        <f t="shared" si="5"/>
        <v>0</v>
      </c>
      <c r="G50" s="368">
        <f t="shared" si="5"/>
        <v>0</v>
      </c>
      <c r="H50" s="368">
        <f t="shared" si="5"/>
        <v>0</v>
      </c>
      <c r="I50" s="368">
        <f t="shared" si="5"/>
        <v>0</v>
      </c>
      <c r="J50" s="368">
        <f t="shared" si="5"/>
        <v>0</v>
      </c>
      <c r="K50" s="409">
        <f t="shared" si="5"/>
        <v>0</v>
      </c>
      <c r="L50" s="368">
        <f t="shared" si="5"/>
        <v>0</v>
      </c>
      <c r="M50" s="368">
        <f t="shared" si="5"/>
        <v>0</v>
      </c>
      <c r="N50" s="368">
        <f t="shared" si="5"/>
        <v>0</v>
      </c>
      <c r="O50" s="368">
        <f t="shared" si="5"/>
        <v>0</v>
      </c>
      <c r="P50" s="368">
        <f t="shared" si="5"/>
        <v>0</v>
      </c>
      <c r="Q50" s="368">
        <f t="shared" si="5"/>
        <v>0</v>
      </c>
      <c r="R50" s="368">
        <f t="shared" si="5"/>
        <v>0</v>
      </c>
      <c r="S50" s="368">
        <f t="shared" si="5"/>
        <v>0</v>
      </c>
      <c r="T50" s="368">
        <f t="shared" si="5"/>
        <v>0</v>
      </c>
      <c r="U50" s="368">
        <f t="shared" si="4"/>
        <v>0</v>
      </c>
      <c r="V50" s="410" t="s">
        <v>120</v>
      </c>
      <c r="W50" s="408"/>
    </row>
    <row r="51" spans="1:23" ht="13.5" customHeight="1">
      <c r="A51" s="411" t="s">
        <v>121</v>
      </c>
      <c r="B51" s="412"/>
      <c r="C51" s="413"/>
      <c r="D51" s="413"/>
      <c r="E51" s="413"/>
      <c r="F51" s="413"/>
      <c r="G51" s="413"/>
      <c r="H51" s="413"/>
      <c r="I51" s="413"/>
      <c r="J51" s="413"/>
      <c r="K51" s="414"/>
      <c r="L51" s="413"/>
      <c r="M51" s="413"/>
      <c r="N51" s="413"/>
      <c r="O51" s="413"/>
      <c r="P51" s="413"/>
      <c r="Q51" s="413"/>
      <c r="R51" s="413"/>
      <c r="S51" s="413"/>
      <c r="T51" s="413"/>
      <c r="U51" s="413">
        <f t="shared" si="4"/>
        <v>0</v>
      </c>
      <c r="V51" s="411" t="s">
        <v>121</v>
      </c>
      <c r="W51" s="412"/>
    </row>
    <row r="52" spans="1:23" ht="13.5" customHeight="1">
      <c r="A52" s="415" t="s">
        <v>9</v>
      </c>
      <c r="B52" s="416"/>
      <c r="C52" s="417"/>
      <c r="D52" s="417"/>
      <c r="E52" s="417"/>
      <c r="F52" s="417"/>
      <c r="G52" s="417"/>
      <c r="H52" s="417"/>
      <c r="I52" s="417"/>
      <c r="J52" s="417"/>
      <c r="K52" s="418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5" t="s">
        <v>9</v>
      </c>
      <c r="W52" s="416"/>
    </row>
    <row r="53" spans="1:22" ht="13.5" customHeight="1">
      <c r="A53" s="366"/>
      <c r="B53" s="408" t="s">
        <v>140</v>
      </c>
      <c r="C53" s="368"/>
      <c r="D53" s="368"/>
      <c r="E53" s="368"/>
      <c r="F53" s="368"/>
      <c r="G53" s="368"/>
      <c r="H53" s="368"/>
      <c r="I53" s="368"/>
      <c r="J53" s="368"/>
      <c r="K53" s="409"/>
      <c r="L53" s="368"/>
      <c r="M53" s="368"/>
      <c r="N53" s="368"/>
      <c r="O53" s="368"/>
      <c r="P53" s="368"/>
      <c r="Q53" s="368"/>
      <c r="R53" s="368"/>
      <c r="S53" s="368"/>
      <c r="T53" s="368"/>
      <c r="U53" s="368">
        <f>SUM(C53:T53)</f>
        <v>0</v>
      </c>
      <c r="V53" s="408" t="s">
        <v>140</v>
      </c>
    </row>
    <row r="54" spans="1:22" ht="13.5" customHeight="1">
      <c r="A54" s="366"/>
      <c r="B54" s="424" t="s">
        <v>298</v>
      </c>
      <c r="C54" s="368"/>
      <c r="D54" s="368"/>
      <c r="E54" s="368"/>
      <c r="F54" s="368"/>
      <c r="G54" s="368"/>
      <c r="H54" s="368"/>
      <c r="I54" s="368"/>
      <c r="J54" s="368"/>
      <c r="K54" s="409"/>
      <c r="L54" s="368"/>
      <c r="M54" s="368"/>
      <c r="N54" s="368"/>
      <c r="O54" s="368"/>
      <c r="P54" s="368"/>
      <c r="Q54" s="368"/>
      <c r="R54" s="368"/>
      <c r="S54" s="368"/>
      <c r="T54" s="368"/>
      <c r="U54" s="368">
        <f>SUM(C54:T54)</f>
        <v>0</v>
      </c>
      <c r="V54" s="424" t="s">
        <v>298</v>
      </c>
    </row>
    <row r="55" spans="1:22" ht="13.5" customHeight="1">
      <c r="A55" s="366"/>
      <c r="B55" s="424" t="s">
        <v>142</v>
      </c>
      <c r="C55" s="368"/>
      <c r="D55" s="368"/>
      <c r="E55" s="368"/>
      <c r="F55" s="368"/>
      <c r="G55" s="368"/>
      <c r="H55" s="368"/>
      <c r="I55" s="368"/>
      <c r="J55" s="368"/>
      <c r="K55" s="409"/>
      <c r="L55" s="368"/>
      <c r="M55" s="368"/>
      <c r="N55" s="368"/>
      <c r="O55" s="368"/>
      <c r="P55" s="368"/>
      <c r="Q55" s="368"/>
      <c r="R55" s="368"/>
      <c r="S55" s="368"/>
      <c r="T55" s="368"/>
      <c r="U55" s="368">
        <f>SUM(C55:T55)</f>
        <v>0</v>
      </c>
      <c r="V55" s="424" t="s">
        <v>142</v>
      </c>
    </row>
    <row r="56" spans="1:22" ht="13.5" customHeight="1">
      <c r="A56" s="366"/>
      <c r="B56" s="424" t="s">
        <v>143</v>
      </c>
      <c r="C56" s="368"/>
      <c r="D56" s="368"/>
      <c r="E56" s="368"/>
      <c r="F56" s="368"/>
      <c r="G56" s="368"/>
      <c r="H56" s="368"/>
      <c r="I56" s="368"/>
      <c r="J56" s="368"/>
      <c r="K56" s="409"/>
      <c r="L56" s="368"/>
      <c r="M56" s="368"/>
      <c r="N56" s="368"/>
      <c r="O56" s="368"/>
      <c r="P56" s="368"/>
      <c r="Q56" s="368"/>
      <c r="R56" s="368"/>
      <c r="S56" s="368"/>
      <c r="T56" s="368"/>
      <c r="U56" s="368">
        <f>SUM(C56:T56)</f>
        <v>0</v>
      </c>
      <c r="V56" s="424" t="s">
        <v>143</v>
      </c>
    </row>
    <row r="57" spans="1:22" ht="13.5" customHeight="1">
      <c r="A57" s="366"/>
      <c r="B57" s="408" t="s">
        <v>144</v>
      </c>
      <c r="C57" s="368"/>
      <c r="D57" s="368"/>
      <c r="E57" s="368"/>
      <c r="F57" s="368"/>
      <c r="G57" s="368"/>
      <c r="H57" s="368"/>
      <c r="I57" s="368"/>
      <c r="J57" s="368"/>
      <c r="K57" s="409"/>
      <c r="L57" s="368"/>
      <c r="M57" s="368"/>
      <c r="N57" s="368"/>
      <c r="O57" s="368"/>
      <c r="P57" s="368"/>
      <c r="Q57" s="368"/>
      <c r="R57" s="368"/>
      <c r="S57" s="368"/>
      <c r="T57" s="368"/>
      <c r="U57" s="368">
        <f>SUM(C57:T57)</f>
        <v>0</v>
      </c>
      <c r="V57" s="408" t="s">
        <v>144</v>
      </c>
    </row>
    <row r="58" spans="1:23" ht="13.5" customHeight="1">
      <c r="A58" s="410" t="s">
        <v>120</v>
      </c>
      <c r="B58" s="408"/>
      <c r="C58" s="368">
        <f aca="true" t="shared" si="6" ref="C58:U58">SUM(C53:C57)</f>
        <v>0</v>
      </c>
      <c r="D58" s="368">
        <f t="shared" si="6"/>
        <v>0</v>
      </c>
      <c r="E58" s="368">
        <f t="shared" si="6"/>
        <v>0</v>
      </c>
      <c r="F58" s="368">
        <f t="shared" si="6"/>
        <v>0</v>
      </c>
      <c r="G58" s="368">
        <f t="shared" si="6"/>
        <v>0</v>
      </c>
      <c r="H58" s="368">
        <f t="shared" si="6"/>
        <v>0</v>
      </c>
      <c r="I58" s="368">
        <f t="shared" si="6"/>
        <v>0</v>
      </c>
      <c r="J58" s="368">
        <f t="shared" si="6"/>
        <v>0</v>
      </c>
      <c r="K58" s="409">
        <f t="shared" si="6"/>
        <v>0</v>
      </c>
      <c r="L58" s="368">
        <f t="shared" si="6"/>
        <v>0</v>
      </c>
      <c r="M58" s="368">
        <f t="shared" si="6"/>
        <v>0</v>
      </c>
      <c r="N58" s="368">
        <f t="shared" si="6"/>
        <v>0</v>
      </c>
      <c r="O58" s="368">
        <f t="shared" si="6"/>
        <v>0</v>
      </c>
      <c r="P58" s="368">
        <f t="shared" si="6"/>
        <v>0</v>
      </c>
      <c r="Q58" s="368">
        <f t="shared" si="6"/>
        <v>0</v>
      </c>
      <c r="R58" s="368">
        <f t="shared" si="6"/>
        <v>0</v>
      </c>
      <c r="S58" s="368">
        <f t="shared" si="6"/>
        <v>0</v>
      </c>
      <c r="T58" s="368">
        <f t="shared" si="6"/>
        <v>0</v>
      </c>
      <c r="U58" s="368">
        <f t="shared" si="6"/>
        <v>0</v>
      </c>
      <c r="V58" s="410" t="s">
        <v>120</v>
      </c>
      <c r="W58" s="408"/>
    </row>
    <row r="59" spans="1:23" ht="13.5" customHeight="1">
      <c r="A59" s="411" t="s">
        <v>121</v>
      </c>
      <c r="B59" s="412"/>
      <c r="C59" s="413">
        <v>0</v>
      </c>
      <c r="D59" s="413"/>
      <c r="E59" s="413"/>
      <c r="F59" s="413"/>
      <c r="G59" s="413"/>
      <c r="H59" s="413"/>
      <c r="I59" s="413"/>
      <c r="J59" s="413"/>
      <c r="K59" s="413">
        <v>0</v>
      </c>
      <c r="L59" s="413"/>
      <c r="M59" s="413"/>
      <c r="N59" s="413"/>
      <c r="O59" s="413"/>
      <c r="P59" s="413"/>
      <c r="Q59" s="413"/>
      <c r="R59" s="413"/>
      <c r="S59" s="413"/>
      <c r="T59" s="413"/>
      <c r="U59" s="413">
        <f>SUM(C59:T59)</f>
        <v>0</v>
      </c>
      <c r="V59" s="411" t="s">
        <v>121</v>
      </c>
      <c r="W59" s="412"/>
    </row>
    <row r="60" spans="1:23" ht="13.5" customHeight="1">
      <c r="A60" s="415" t="s">
        <v>10</v>
      </c>
      <c r="B60" s="416"/>
      <c r="C60" s="417"/>
      <c r="D60" s="417"/>
      <c r="E60" s="417"/>
      <c r="F60" s="417"/>
      <c r="G60" s="417"/>
      <c r="H60" s="417"/>
      <c r="I60" s="417"/>
      <c r="J60" s="417"/>
      <c r="K60" s="418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5" t="s">
        <v>10</v>
      </c>
      <c r="W60" s="416"/>
    </row>
    <row r="61" spans="1:22" ht="13.5" customHeight="1">
      <c r="A61" s="366"/>
      <c r="B61" s="408" t="s">
        <v>145</v>
      </c>
      <c r="C61" s="368"/>
      <c r="D61" s="368"/>
      <c r="E61" s="368"/>
      <c r="F61" s="368"/>
      <c r="G61" s="368"/>
      <c r="H61" s="368"/>
      <c r="I61" s="368"/>
      <c r="J61" s="368"/>
      <c r="K61" s="409"/>
      <c r="L61" s="368"/>
      <c r="M61" s="368"/>
      <c r="N61" s="368"/>
      <c r="O61" s="368"/>
      <c r="P61" s="368"/>
      <c r="Q61" s="368"/>
      <c r="R61" s="368"/>
      <c r="S61" s="368"/>
      <c r="T61" s="368"/>
      <c r="U61" s="368">
        <f aca="true" t="shared" si="7" ref="U61:U66">SUM(C61:T61)</f>
        <v>0</v>
      </c>
      <c r="V61" s="408" t="s">
        <v>145</v>
      </c>
    </row>
    <row r="62" spans="1:22" ht="13.5" customHeight="1">
      <c r="A62" s="366"/>
      <c r="B62" s="408" t="s">
        <v>147</v>
      </c>
      <c r="C62" s="368"/>
      <c r="D62" s="368"/>
      <c r="E62" s="368"/>
      <c r="F62" s="368"/>
      <c r="G62" s="368"/>
      <c r="H62" s="368"/>
      <c r="I62" s="368"/>
      <c r="J62" s="368"/>
      <c r="K62" s="409"/>
      <c r="L62" s="368"/>
      <c r="M62" s="368"/>
      <c r="N62" s="368"/>
      <c r="O62" s="368"/>
      <c r="P62" s="368"/>
      <c r="Q62" s="368"/>
      <c r="R62" s="368"/>
      <c r="S62" s="368"/>
      <c r="T62" s="368"/>
      <c r="U62" s="368">
        <f t="shared" si="7"/>
        <v>0</v>
      </c>
      <c r="V62" s="408" t="s">
        <v>147</v>
      </c>
    </row>
    <row r="63" spans="1:22" ht="13.5" customHeight="1">
      <c r="A63" s="366"/>
      <c r="B63" s="408" t="s">
        <v>149</v>
      </c>
      <c r="C63" s="368"/>
      <c r="D63" s="368"/>
      <c r="E63" s="368"/>
      <c r="F63" s="368"/>
      <c r="G63" s="368"/>
      <c r="H63" s="368"/>
      <c r="I63" s="368"/>
      <c r="J63" s="368"/>
      <c r="K63" s="409"/>
      <c r="L63" s="368"/>
      <c r="M63" s="368"/>
      <c r="N63" s="368"/>
      <c r="O63" s="368"/>
      <c r="P63" s="368"/>
      <c r="Q63" s="368"/>
      <c r="R63" s="368"/>
      <c r="S63" s="368"/>
      <c r="T63" s="368"/>
      <c r="U63" s="368">
        <f t="shared" si="7"/>
        <v>0</v>
      </c>
      <c r="V63" s="408" t="s">
        <v>149</v>
      </c>
    </row>
    <row r="64" spans="1:22" ht="13.5" customHeight="1">
      <c r="A64" s="366"/>
      <c r="B64" s="408" t="s">
        <v>188</v>
      </c>
      <c r="C64" s="368"/>
      <c r="D64" s="368"/>
      <c r="E64" s="368"/>
      <c r="F64" s="368"/>
      <c r="G64" s="368"/>
      <c r="H64" s="368"/>
      <c r="I64" s="368"/>
      <c r="J64" s="368"/>
      <c r="K64" s="409"/>
      <c r="L64" s="368"/>
      <c r="M64" s="368"/>
      <c r="N64" s="368"/>
      <c r="O64" s="368"/>
      <c r="P64" s="368"/>
      <c r="Q64" s="368"/>
      <c r="R64" s="368"/>
      <c r="S64" s="368"/>
      <c r="T64" s="368"/>
      <c r="U64" s="368">
        <f t="shared" si="7"/>
        <v>0</v>
      </c>
      <c r="V64" s="408" t="s">
        <v>188</v>
      </c>
    </row>
    <row r="65" spans="1:22" ht="13.5" customHeight="1">
      <c r="A65" s="366"/>
      <c r="B65" s="408" t="s">
        <v>150</v>
      </c>
      <c r="C65" s="368"/>
      <c r="D65" s="368"/>
      <c r="E65" s="368"/>
      <c r="F65" s="368"/>
      <c r="G65" s="368"/>
      <c r="H65" s="368"/>
      <c r="I65" s="368"/>
      <c r="J65" s="368"/>
      <c r="K65" s="409"/>
      <c r="L65" s="368"/>
      <c r="M65" s="368"/>
      <c r="N65" s="368"/>
      <c r="O65" s="368"/>
      <c r="P65" s="368"/>
      <c r="Q65" s="368"/>
      <c r="R65" s="368"/>
      <c r="S65" s="368"/>
      <c r="T65" s="368"/>
      <c r="U65" s="368">
        <f t="shared" si="7"/>
        <v>0</v>
      </c>
      <c r="V65" s="408" t="s">
        <v>150</v>
      </c>
    </row>
    <row r="66" spans="1:22" ht="13.5" customHeight="1">
      <c r="A66" s="366"/>
      <c r="B66" s="408" t="s">
        <v>151</v>
      </c>
      <c r="C66" s="368"/>
      <c r="D66" s="368"/>
      <c r="E66" s="368"/>
      <c r="F66" s="368"/>
      <c r="G66" s="368"/>
      <c r="H66" s="368"/>
      <c r="I66" s="368"/>
      <c r="J66" s="368"/>
      <c r="K66" s="409"/>
      <c r="L66" s="368"/>
      <c r="M66" s="368"/>
      <c r="N66" s="368"/>
      <c r="O66" s="368"/>
      <c r="P66" s="368"/>
      <c r="Q66" s="368"/>
      <c r="R66" s="368"/>
      <c r="S66" s="368"/>
      <c r="T66" s="368"/>
      <c r="U66" s="368">
        <f t="shared" si="7"/>
        <v>0</v>
      </c>
      <c r="V66" s="408" t="s">
        <v>151</v>
      </c>
    </row>
    <row r="67" spans="1:23" ht="13.5" customHeight="1">
      <c r="A67" s="410" t="s">
        <v>120</v>
      </c>
      <c r="B67" s="408"/>
      <c r="C67" s="368">
        <f aca="true" t="shared" si="8" ref="C67:U67">SUM(C61:C66)</f>
        <v>0</v>
      </c>
      <c r="D67" s="368">
        <f t="shared" si="8"/>
        <v>0</v>
      </c>
      <c r="E67" s="368">
        <f t="shared" si="8"/>
        <v>0</v>
      </c>
      <c r="F67" s="368">
        <f t="shared" si="8"/>
        <v>0</v>
      </c>
      <c r="G67" s="368">
        <f t="shared" si="8"/>
        <v>0</v>
      </c>
      <c r="H67" s="368">
        <f t="shared" si="8"/>
        <v>0</v>
      </c>
      <c r="I67" s="368">
        <f t="shared" si="8"/>
        <v>0</v>
      </c>
      <c r="J67" s="368">
        <f t="shared" si="8"/>
        <v>0</v>
      </c>
      <c r="K67" s="409">
        <f t="shared" si="8"/>
        <v>0</v>
      </c>
      <c r="L67" s="368">
        <f t="shared" si="8"/>
        <v>0</v>
      </c>
      <c r="M67" s="368">
        <f t="shared" si="8"/>
        <v>0</v>
      </c>
      <c r="N67" s="368">
        <f t="shared" si="8"/>
        <v>0</v>
      </c>
      <c r="O67" s="368">
        <f t="shared" si="8"/>
        <v>0</v>
      </c>
      <c r="P67" s="368">
        <f t="shared" si="8"/>
        <v>0</v>
      </c>
      <c r="Q67" s="368">
        <f t="shared" si="8"/>
        <v>0</v>
      </c>
      <c r="R67" s="368">
        <f t="shared" si="8"/>
        <v>0</v>
      </c>
      <c r="S67" s="368">
        <f t="shared" si="8"/>
        <v>0</v>
      </c>
      <c r="T67" s="368">
        <f t="shared" si="8"/>
        <v>0</v>
      </c>
      <c r="U67" s="368">
        <f t="shared" si="8"/>
        <v>0</v>
      </c>
      <c r="V67" s="410" t="s">
        <v>120</v>
      </c>
      <c r="W67" s="240"/>
    </row>
    <row r="68" spans="1:23" ht="12" customHeight="1">
      <c r="A68" s="411" t="s">
        <v>121</v>
      </c>
      <c r="B68" s="412"/>
      <c r="C68" s="413"/>
      <c r="D68" s="413"/>
      <c r="E68" s="413"/>
      <c r="F68" s="413"/>
      <c r="G68" s="413"/>
      <c r="H68" s="413"/>
      <c r="I68" s="413"/>
      <c r="J68" s="413"/>
      <c r="K68" s="414"/>
      <c r="L68" s="413"/>
      <c r="M68" s="413"/>
      <c r="N68" s="413"/>
      <c r="O68" s="413"/>
      <c r="P68" s="413"/>
      <c r="Q68" s="413"/>
      <c r="R68" s="413"/>
      <c r="S68" s="413"/>
      <c r="T68" s="413"/>
      <c r="U68" s="413">
        <f>SUM(C68:T68)</f>
        <v>0</v>
      </c>
      <c r="V68" s="411" t="s">
        <v>121</v>
      </c>
      <c r="W68" s="240"/>
    </row>
    <row r="69" spans="1:23" s="240" customFormat="1" ht="17.25" customHeight="1">
      <c r="A69" s="425"/>
      <c r="C69" s="426"/>
      <c r="D69" s="426"/>
      <c r="E69" s="426"/>
      <c r="F69" s="426"/>
      <c r="G69" s="426"/>
      <c r="H69" s="426"/>
      <c r="I69" s="426"/>
      <c r="J69" s="426"/>
      <c r="K69" s="427"/>
      <c r="L69" s="426"/>
      <c r="M69" s="426"/>
      <c r="N69" s="426"/>
      <c r="O69" s="426"/>
      <c r="P69" s="426"/>
      <c r="Q69" s="426"/>
      <c r="R69" s="426"/>
      <c r="S69" s="426"/>
      <c r="T69" s="426"/>
      <c r="U69" s="428" t="s">
        <v>262</v>
      </c>
      <c r="W69" s="426"/>
    </row>
    <row r="70" spans="1:23" s="400" customFormat="1" ht="14.25">
      <c r="A70" s="483" t="s">
        <v>59</v>
      </c>
      <c r="B70" s="484"/>
      <c r="C70" s="489" t="s">
        <v>60</v>
      </c>
      <c r="D70" s="489"/>
      <c r="E70" s="489" t="s">
        <v>61</v>
      </c>
      <c r="F70" s="489"/>
      <c r="G70" s="489" t="s">
        <v>62</v>
      </c>
      <c r="H70" s="489"/>
      <c r="I70" s="489" t="s">
        <v>63</v>
      </c>
      <c r="J70" s="489"/>
      <c r="K70" s="489" t="s">
        <v>64</v>
      </c>
      <c r="L70" s="489"/>
      <c r="M70" s="489"/>
      <c r="N70" s="399" t="s">
        <v>65</v>
      </c>
      <c r="O70" s="489" t="s">
        <v>66</v>
      </c>
      <c r="P70" s="489"/>
      <c r="Q70" s="489"/>
      <c r="R70" s="399" t="s">
        <v>67</v>
      </c>
      <c r="S70" s="399" t="s">
        <v>68</v>
      </c>
      <c r="T70" s="399" t="s">
        <v>69</v>
      </c>
      <c r="U70" s="479" t="s">
        <v>17</v>
      </c>
      <c r="W70" s="401"/>
    </row>
    <row r="71" spans="1:21" ht="14.25">
      <c r="A71" s="485"/>
      <c r="B71" s="486"/>
      <c r="C71" s="477" t="s">
        <v>70</v>
      </c>
      <c r="D71" s="477"/>
      <c r="E71" s="479" t="s">
        <v>71</v>
      </c>
      <c r="F71" s="479"/>
      <c r="G71" s="479" t="s">
        <v>72</v>
      </c>
      <c r="H71" s="479"/>
      <c r="I71" s="477" t="s">
        <v>73</v>
      </c>
      <c r="J71" s="477"/>
      <c r="K71" s="477" t="s">
        <v>74</v>
      </c>
      <c r="L71" s="477"/>
      <c r="M71" s="477"/>
      <c r="N71" s="477" t="s">
        <v>75</v>
      </c>
      <c r="O71" s="477" t="s">
        <v>76</v>
      </c>
      <c r="P71" s="477"/>
      <c r="Q71" s="477"/>
      <c r="R71" s="477" t="s">
        <v>77</v>
      </c>
      <c r="S71" s="477" t="s">
        <v>78</v>
      </c>
      <c r="T71" s="477" t="s">
        <v>79</v>
      </c>
      <c r="U71" s="479"/>
    </row>
    <row r="72" spans="1:21" ht="14.25">
      <c r="A72" s="485"/>
      <c r="B72" s="486"/>
      <c r="C72" s="477"/>
      <c r="D72" s="477"/>
      <c r="E72" s="479"/>
      <c r="F72" s="479"/>
      <c r="G72" s="479"/>
      <c r="H72" s="479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477"/>
      <c r="U72" s="479"/>
    </row>
    <row r="73" spans="1:21" ht="14.25">
      <c r="A73" s="485"/>
      <c r="B73" s="486"/>
      <c r="C73" s="477"/>
      <c r="D73" s="477"/>
      <c r="E73" s="479"/>
      <c r="F73" s="479"/>
      <c r="G73" s="479"/>
      <c r="H73" s="479"/>
      <c r="I73" s="477"/>
      <c r="J73" s="477"/>
      <c r="K73" s="477"/>
      <c r="L73" s="477"/>
      <c r="M73" s="477"/>
      <c r="N73" s="477"/>
      <c r="O73" s="477"/>
      <c r="P73" s="477"/>
      <c r="Q73" s="477"/>
      <c r="R73" s="477"/>
      <c r="S73" s="477"/>
      <c r="T73" s="477"/>
      <c r="U73" s="479"/>
    </row>
    <row r="74" spans="1:23" s="400" customFormat="1" ht="14.25">
      <c r="A74" s="485"/>
      <c r="B74" s="486"/>
      <c r="C74" s="399" t="s">
        <v>80</v>
      </c>
      <c r="D74" s="399" t="s">
        <v>81</v>
      </c>
      <c r="E74" s="399" t="s">
        <v>82</v>
      </c>
      <c r="F74" s="399" t="s">
        <v>83</v>
      </c>
      <c r="G74" s="399" t="s">
        <v>84</v>
      </c>
      <c r="H74" s="399" t="s">
        <v>85</v>
      </c>
      <c r="I74" s="399" t="s">
        <v>86</v>
      </c>
      <c r="J74" s="399" t="s">
        <v>87</v>
      </c>
      <c r="K74" s="402" t="s">
        <v>88</v>
      </c>
      <c r="L74" s="399" t="s">
        <v>89</v>
      </c>
      <c r="M74" s="399" t="s">
        <v>90</v>
      </c>
      <c r="N74" s="399" t="s">
        <v>91</v>
      </c>
      <c r="O74" s="399" t="s">
        <v>92</v>
      </c>
      <c r="P74" s="399" t="s">
        <v>93</v>
      </c>
      <c r="Q74" s="399" t="s">
        <v>94</v>
      </c>
      <c r="R74" s="399" t="s">
        <v>95</v>
      </c>
      <c r="S74" s="399" t="s">
        <v>96</v>
      </c>
      <c r="T74" s="399" t="s">
        <v>97</v>
      </c>
      <c r="U74" s="479"/>
      <c r="W74" s="401"/>
    </row>
    <row r="75" spans="1:23" s="403" customFormat="1" ht="14.25">
      <c r="A75" s="485"/>
      <c r="B75" s="486"/>
      <c r="C75" s="477" t="s">
        <v>98</v>
      </c>
      <c r="D75" s="477" t="s">
        <v>99</v>
      </c>
      <c r="E75" s="477" t="s">
        <v>100</v>
      </c>
      <c r="F75" s="477" t="s">
        <v>101</v>
      </c>
      <c r="G75" s="477" t="s">
        <v>102</v>
      </c>
      <c r="H75" s="477" t="s">
        <v>103</v>
      </c>
      <c r="I75" s="477" t="s">
        <v>104</v>
      </c>
      <c r="J75" s="477" t="s">
        <v>105</v>
      </c>
      <c r="K75" s="478" t="s">
        <v>106</v>
      </c>
      <c r="L75" s="477" t="s">
        <v>107</v>
      </c>
      <c r="M75" s="477" t="s">
        <v>108</v>
      </c>
      <c r="N75" s="477" t="s">
        <v>109</v>
      </c>
      <c r="O75" s="477" t="s">
        <v>110</v>
      </c>
      <c r="P75" s="477" t="s">
        <v>111</v>
      </c>
      <c r="Q75" s="477" t="s">
        <v>112</v>
      </c>
      <c r="R75" s="477" t="s">
        <v>113</v>
      </c>
      <c r="S75" s="477" t="s">
        <v>114</v>
      </c>
      <c r="T75" s="477" t="s">
        <v>115</v>
      </c>
      <c r="U75" s="479"/>
      <c r="W75" s="401"/>
    </row>
    <row r="76" spans="1:23" s="403" customFormat="1" ht="14.25">
      <c r="A76" s="485"/>
      <c r="B76" s="486"/>
      <c r="C76" s="477"/>
      <c r="D76" s="477"/>
      <c r="E76" s="477"/>
      <c r="F76" s="477"/>
      <c r="G76" s="477"/>
      <c r="H76" s="477"/>
      <c r="I76" s="477"/>
      <c r="J76" s="477"/>
      <c r="K76" s="478"/>
      <c r="L76" s="477"/>
      <c r="M76" s="477"/>
      <c r="N76" s="477"/>
      <c r="O76" s="477"/>
      <c r="P76" s="477"/>
      <c r="Q76" s="477"/>
      <c r="R76" s="477"/>
      <c r="S76" s="477"/>
      <c r="T76" s="477"/>
      <c r="U76" s="479"/>
      <c r="W76" s="401"/>
    </row>
    <row r="77" spans="1:21" ht="14.25">
      <c r="A77" s="485"/>
      <c r="B77" s="486"/>
      <c r="C77" s="477"/>
      <c r="D77" s="477"/>
      <c r="E77" s="477"/>
      <c r="F77" s="477"/>
      <c r="G77" s="477"/>
      <c r="H77" s="477"/>
      <c r="I77" s="477"/>
      <c r="J77" s="477"/>
      <c r="K77" s="478"/>
      <c r="L77" s="477"/>
      <c r="M77" s="477"/>
      <c r="N77" s="477"/>
      <c r="O77" s="477"/>
      <c r="P77" s="477"/>
      <c r="Q77" s="477"/>
      <c r="R77" s="477"/>
      <c r="S77" s="477"/>
      <c r="T77" s="477"/>
      <c r="U77" s="479"/>
    </row>
    <row r="78" spans="1:21" ht="14.25">
      <c r="A78" s="487"/>
      <c r="B78" s="488"/>
      <c r="C78" s="477"/>
      <c r="D78" s="477"/>
      <c r="E78" s="477"/>
      <c r="F78" s="477"/>
      <c r="G78" s="477"/>
      <c r="H78" s="477"/>
      <c r="I78" s="477"/>
      <c r="J78" s="477"/>
      <c r="K78" s="478"/>
      <c r="L78" s="477"/>
      <c r="M78" s="477"/>
      <c r="N78" s="477"/>
      <c r="O78" s="477"/>
      <c r="P78" s="477"/>
      <c r="Q78" s="477"/>
      <c r="R78" s="477"/>
      <c r="S78" s="477"/>
      <c r="T78" s="477"/>
      <c r="U78" s="479"/>
    </row>
    <row r="79" spans="1:22" ht="14.25">
      <c r="A79" s="415" t="s">
        <v>14</v>
      </c>
      <c r="B79" s="416"/>
      <c r="C79" s="417"/>
      <c r="D79" s="417"/>
      <c r="E79" s="417"/>
      <c r="F79" s="417"/>
      <c r="G79" s="417"/>
      <c r="H79" s="417"/>
      <c r="I79" s="417"/>
      <c r="J79" s="417"/>
      <c r="K79" s="418"/>
      <c r="L79" s="417"/>
      <c r="M79" s="417"/>
      <c r="N79" s="417"/>
      <c r="O79" s="417"/>
      <c r="P79" s="417"/>
      <c r="Q79" s="417"/>
      <c r="R79" s="417"/>
      <c r="S79" s="417"/>
      <c r="T79" s="417"/>
      <c r="U79" s="429">
        <f>SUM(C79:T79)</f>
        <v>0</v>
      </c>
      <c r="V79" s="416"/>
    </row>
    <row r="80" spans="1:22" ht="14.25">
      <c r="A80" s="415"/>
      <c r="B80" s="430" t="s">
        <v>297</v>
      </c>
      <c r="C80" s="417"/>
      <c r="D80" s="417"/>
      <c r="E80" s="417"/>
      <c r="F80" s="417"/>
      <c r="G80" s="417"/>
      <c r="H80" s="417"/>
      <c r="I80" s="417"/>
      <c r="J80" s="417"/>
      <c r="K80" s="418"/>
      <c r="L80" s="417"/>
      <c r="M80" s="417"/>
      <c r="N80" s="417"/>
      <c r="O80" s="417"/>
      <c r="P80" s="417"/>
      <c r="Q80" s="417"/>
      <c r="R80" s="417"/>
      <c r="S80" s="417"/>
      <c r="T80" s="417"/>
      <c r="U80" s="368">
        <f>SUM(C80:T80)</f>
        <v>0</v>
      </c>
      <c r="V80" s="430" t="s">
        <v>297</v>
      </c>
    </row>
    <row r="81" spans="1:22" ht="14.25">
      <c r="A81" s="410"/>
      <c r="B81" s="367" t="s">
        <v>290</v>
      </c>
      <c r="C81" s="368"/>
      <c r="D81" s="368"/>
      <c r="E81" s="368"/>
      <c r="F81" s="368"/>
      <c r="G81" s="368"/>
      <c r="H81" s="368"/>
      <c r="I81" s="368"/>
      <c r="J81" s="368"/>
      <c r="K81" s="409"/>
      <c r="L81" s="368"/>
      <c r="M81" s="368"/>
      <c r="N81" s="368"/>
      <c r="O81" s="368"/>
      <c r="P81" s="368"/>
      <c r="Q81" s="368"/>
      <c r="R81" s="368"/>
      <c r="S81" s="368"/>
      <c r="T81" s="368"/>
      <c r="U81" s="429"/>
      <c r="V81" s="367" t="s">
        <v>290</v>
      </c>
    </row>
    <row r="82" spans="1:22" ht="14.25">
      <c r="A82" s="410" t="s">
        <v>120</v>
      </c>
      <c r="B82" s="408"/>
      <c r="C82" s="429">
        <f aca="true" t="shared" si="9" ref="C82:M82">SUM(C79:C81)</f>
        <v>0</v>
      </c>
      <c r="D82" s="429">
        <f t="shared" si="9"/>
        <v>0</v>
      </c>
      <c r="E82" s="429">
        <f t="shared" si="9"/>
        <v>0</v>
      </c>
      <c r="F82" s="429">
        <f t="shared" si="9"/>
        <v>0</v>
      </c>
      <c r="G82" s="429">
        <f t="shared" si="9"/>
        <v>0</v>
      </c>
      <c r="H82" s="429">
        <f t="shared" si="9"/>
        <v>0</v>
      </c>
      <c r="I82" s="429">
        <f t="shared" si="9"/>
        <v>0</v>
      </c>
      <c r="J82" s="429">
        <f t="shared" si="9"/>
        <v>0</v>
      </c>
      <c r="K82" s="431">
        <f t="shared" si="9"/>
        <v>0</v>
      </c>
      <c r="L82" s="429">
        <f t="shared" si="9"/>
        <v>0</v>
      </c>
      <c r="M82" s="429">
        <f t="shared" si="9"/>
        <v>0</v>
      </c>
      <c r="N82" s="429">
        <f>SUM(N79:N81)</f>
        <v>0</v>
      </c>
      <c r="O82" s="429">
        <f aca="true" t="shared" si="10" ref="O82:T82">SUM(O79:O81)</f>
        <v>0</v>
      </c>
      <c r="P82" s="429">
        <f t="shared" si="10"/>
        <v>0</v>
      </c>
      <c r="Q82" s="429">
        <f t="shared" si="10"/>
        <v>0</v>
      </c>
      <c r="R82" s="429">
        <f t="shared" si="10"/>
        <v>0</v>
      </c>
      <c r="S82" s="429">
        <f t="shared" si="10"/>
        <v>0</v>
      </c>
      <c r="T82" s="429">
        <f t="shared" si="10"/>
        <v>0</v>
      </c>
      <c r="U82" s="429">
        <f>SUM(C82:T82)</f>
        <v>0</v>
      </c>
      <c r="V82" s="410" t="s">
        <v>120</v>
      </c>
    </row>
    <row r="83" spans="1:22" ht="14.25">
      <c r="A83" s="411" t="s">
        <v>121</v>
      </c>
      <c r="B83" s="412"/>
      <c r="C83" s="432">
        <v>0</v>
      </c>
      <c r="D83" s="432">
        <v>0</v>
      </c>
      <c r="E83" s="432">
        <v>0</v>
      </c>
      <c r="F83" s="432">
        <v>0</v>
      </c>
      <c r="G83" s="432">
        <v>0</v>
      </c>
      <c r="H83" s="432">
        <v>0</v>
      </c>
      <c r="I83" s="432">
        <v>0</v>
      </c>
      <c r="J83" s="432">
        <v>0</v>
      </c>
      <c r="K83" s="433"/>
      <c r="L83" s="432">
        <f>994000+499000+1645000</f>
        <v>3138000</v>
      </c>
      <c r="M83" s="432">
        <v>0</v>
      </c>
      <c r="N83" s="432">
        <v>0</v>
      </c>
      <c r="O83" s="432">
        <v>0</v>
      </c>
      <c r="P83" s="432">
        <v>0</v>
      </c>
      <c r="Q83" s="432">
        <v>0</v>
      </c>
      <c r="R83" s="432">
        <v>0</v>
      </c>
      <c r="S83" s="432">
        <v>0</v>
      </c>
      <c r="T83" s="432">
        <v>0</v>
      </c>
      <c r="U83" s="432">
        <f>SUM(C83:T83)</f>
        <v>3138000</v>
      </c>
      <c r="V83" s="411" t="s">
        <v>121</v>
      </c>
    </row>
    <row r="84" spans="1:23" ht="14.25">
      <c r="A84" s="434"/>
      <c r="B84" s="435" t="s">
        <v>160</v>
      </c>
      <c r="C84" s="436">
        <f aca="true" t="shared" si="11" ref="C84:U84">SUM(C18+C24+C50+C58+C67+C82)</f>
        <v>0</v>
      </c>
      <c r="D84" s="436">
        <f t="shared" si="11"/>
        <v>0</v>
      </c>
      <c r="E84" s="436">
        <f t="shared" si="11"/>
        <v>0</v>
      </c>
      <c r="F84" s="436">
        <f t="shared" si="11"/>
        <v>0</v>
      </c>
      <c r="G84" s="436">
        <f t="shared" si="11"/>
        <v>0</v>
      </c>
      <c r="H84" s="436">
        <f t="shared" si="11"/>
        <v>0</v>
      </c>
      <c r="I84" s="436">
        <f t="shared" si="11"/>
        <v>0</v>
      </c>
      <c r="J84" s="436">
        <f t="shared" si="11"/>
        <v>0</v>
      </c>
      <c r="K84" s="436">
        <f t="shared" si="11"/>
        <v>0</v>
      </c>
      <c r="L84" s="436">
        <f t="shared" si="11"/>
        <v>0</v>
      </c>
      <c r="M84" s="436">
        <f t="shared" si="11"/>
        <v>0</v>
      </c>
      <c r="N84" s="436">
        <f t="shared" si="11"/>
        <v>0</v>
      </c>
      <c r="O84" s="436">
        <f t="shared" si="11"/>
        <v>0</v>
      </c>
      <c r="P84" s="436">
        <f t="shared" si="11"/>
        <v>0</v>
      </c>
      <c r="Q84" s="436">
        <f t="shared" si="11"/>
        <v>0</v>
      </c>
      <c r="R84" s="436">
        <f t="shared" si="11"/>
        <v>0</v>
      </c>
      <c r="S84" s="436">
        <f t="shared" si="11"/>
        <v>0</v>
      </c>
      <c r="T84" s="436">
        <f t="shared" si="11"/>
        <v>0</v>
      </c>
      <c r="U84" s="436">
        <f t="shared" si="11"/>
        <v>0</v>
      </c>
      <c r="V84" s="435" t="s">
        <v>160</v>
      </c>
      <c r="W84" s="371">
        <v>1578486.41</v>
      </c>
    </row>
    <row r="85" spans="1:23" ht="14.25">
      <c r="A85" s="437"/>
      <c r="B85" s="438" t="s">
        <v>161</v>
      </c>
      <c r="C85" s="432">
        <f aca="true" t="shared" si="12" ref="C85:K85">SUM(C19+C25+C34+C51+C59+C68)</f>
        <v>0</v>
      </c>
      <c r="D85" s="432">
        <f t="shared" si="12"/>
        <v>0</v>
      </c>
      <c r="E85" s="432">
        <f t="shared" si="12"/>
        <v>0</v>
      </c>
      <c r="F85" s="432">
        <f t="shared" si="12"/>
        <v>0</v>
      </c>
      <c r="G85" s="432">
        <f t="shared" si="12"/>
        <v>0</v>
      </c>
      <c r="H85" s="432">
        <f t="shared" si="12"/>
        <v>0</v>
      </c>
      <c r="I85" s="432">
        <f t="shared" si="12"/>
        <v>0</v>
      </c>
      <c r="J85" s="432">
        <f t="shared" si="12"/>
        <v>0</v>
      </c>
      <c r="K85" s="432">
        <f t="shared" si="12"/>
        <v>0</v>
      </c>
      <c r="L85" s="432">
        <f>SUM(L19+L25+L34+L51+L59+L68+L83)</f>
        <v>3138000</v>
      </c>
      <c r="M85" s="432">
        <f aca="true" t="shared" si="13" ref="M85:T85">SUM(M19+M25+M34+M51+M59+M68)</f>
        <v>0</v>
      </c>
      <c r="N85" s="432">
        <f t="shared" si="13"/>
        <v>0</v>
      </c>
      <c r="O85" s="432">
        <f t="shared" si="13"/>
        <v>0</v>
      </c>
      <c r="P85" s="432">
        <f t="shared" si="13"/>
        <v>0</v>
      </c>
      <c r="Q85" s="432">
        <f t="shared" si="13"/>
        <v>0</v>
      </c>
      <c r="R85" s="432">
        <f t="shared" si="13"/>
        <v>0</v>
      </c>
      <c r="S85" s="432">
        <f t="shared" si="13"/>
        <v>0</v>
      </c>
      <c r="T85" s="432">
        <f t="shared" si="13"/>
        <v>0</v>
      </c>
      <c r="U85" s="432">
        <f>SUM(U19+U25+U34+U51+U59+U68+U83)</f>
        <v>3138000</v>
      </c>
      <c r="V85" s="438" t="s">
        <v>161</v>
      </c>
      <c r="W85" s="371">
        <f>8300+8300+8300</f>
        <v>24900</v>
      </c>
    </row>
    <row r="89" spans="2:23" ht="14.25">
      <c r="B89" s="440"/>
      <c r="C89" s="440"/>
      <c r="D89" s="440"/>
      <c r="E89" s="440"/>
      <c r="F89" s="441"/>
      <c r="G89" s="441"/>
      <c r="K89" s="372"/>
      <c r="U89" s="442"/>
      <c r="W89" s="370"/>
    </row>
    <row r="90" spans="11:23" ht="14.25" customHeight="1">
      <c r="K90" s="372"/>
      <c r="U90" s="442"/>
      <c r="W90" s="372"/>
    </row>
    <row r="91" spans="2:23" ht="15" customHeight="1">
      <c r="B91" s="443"/>
      <c r="C91" s="476" t="s">
        <v>354</v>
      </c>
      <c r="D91" s="476"/>
      <c r="E91" s="476"/>
      <c r="H91" s="476" t="s">
        <v>352</v>
      </c>
      <c r="I91" s="476"/>
      <c r="J91" s="476"/>
      <c r="K91" s="372"/>
      <c r="N91" s="476" t="s">
        <v>353</v>
      </c>
      <c r="O91" s="476"/>
      <c r="P91" s="476"/>
      <c r="Q91" s="442"/>
      <c r="S91" s="371"/>
      <c r="W91" s="372"/>
    </row>
    <row r="92" spans="2:23" ht="14.25">
      <c r="B92" s="443"/>
      <c r="C92" s="476" t="s">
        <v>203</v>
      </c>
      <c r="D92" s="476"/>
      <c r="E92" s="476"/>
      <c r="H92" s="476" t="s">
        <v>203</v>
      </c>
      <c r="I92" s="476"/>
      <c r="J92" s="476"/>
      <c r="K92" s="372"/>
      <c r="N92" s="476" t="s">
        <v>293</v>
      </c>
      <c r="O92" s="476"/>
      <c r="P92" s="476"/>
      <c r="Q92" s="442"/>
      <c r="S92" s="371"/>
      <c r="W92" s="372"/>
    </row>
    <row r="93" spans="2:23" ht="14.25">
      <c r="B93" s="443"/>
      <c r="C93" s="476" t="s">
        <v>207</v>
      </c>
      <c r="D93" s="476"/>
      <c r="E93" s="476"/>
      <c r="H93" s="476" t="s">
        <v>292</v>
      </c>
      <c r="I93" s="476"/>
      <c r="J93" s="476"/>
      <c r="K93" s="372"/>
      <c r="N93" s="476" t="s">
        <v>208</v>
      </c>
      <c r="O93" s="476"/>
      <c r="P93" s="476"/>
      <c r="Q93" s="442"/>
      <c r="S93" s="371"/>
      <c r="W93" s="372"/>
    </row>
    <row r="94" spans="2:23" ht="14.25">
      <c r="B94" s="443"/>
      <c r="C94" s="476" t="s">
        <v>211</v>
      </c>
      <c r="D94" s="476"/>
      <c r="E94" s="476"/>
      <c r="K94" s="372"/>
      <c r="Q94" s="442"/>
      <c r="S94" s="371"/>
      <c r="W94" s="372"/>
    </row>
    <row r="96" ht="14.25">
      <c r="L96" s="372" t="s">
        <v>256</v>
      </c>
    </row>
  </sheetData>
  <sheetProtection/>
  <mergeCells count="121">
    <mergeCell ref="C9:C12"/>
    <mergeCell ref="D9:D12"/>
    <mergeCell ref="E9:E12"/>
    <mergeCell ref="L9:L12"/>
    <mergeCell ref="M9:M12"/>
    <mergeCell ref="N9:N12"/>
    <mergeCell ref="F9:F12"/>
    <mergeCell ref="G9:G12"/>
    <mergeCell ref="H9:H12"/>
    <mergeCell ref="I9:I12"/>
    <mergeCell ref="A1:U1"/>
    <mergeCell ref="A2:U2"/>
    <mergeCell ref="A3:U3"/>
    <mergeCell ref="A4:B12"/>
    <mergeCell ref="C4:D4"/>
    <mergeCell ref="E4:F4"/>
    <mergeCell ref="G4:H4"/>
    <mergeCell ref="I4:J4"/>
    <mergeCell ref="K4:M4"/>
    <mergeCell ref="O4:Q4"/>
    <mergeCell ref="U4:U12"/>
    <mergeCell ref="C5:D7"/>
    <mergeCell ref="E5:F7"/>
    <mergeCell ref="G5:H7"/>
    <mergeCell ref="I5:J7"/>
    <mergeCell ref="K5:M7"/>
    <mergeCell ref="N5:N7"/>
    <mergeCell ref="O5:Q7"/>
    <mergeCell ref="R5:R7"/>
    <mergeCell ref="S5:S7"/>
    <mergeCell ref="T5:T7"/>
    <mergeCell ref="O9:O12"/>
    <mergeCell ref="P9:P12"/>
    <mergeCell ref="Q9:Q12"/>
    <mergeCell ref="R9:R12"/>
    <mergeCell ref="S9:S12"/>
    <mergeCell ref="T9:T12"/>
    <mergeCell ref="A36:B44"/>
    <mergeCell ref="C36:D36"/>
    <mergeCell ref="E36:F36"/>
    <mergeCell ref="G36:H36"/>
    <mergeCell ref="I36:J36"/>
    <mergeCell ref="K36:M36"/>
    <mergeCell ref="C41:C44"/>
    <mergeCell ref="D41:D44"/>
    <mergeCell ref="E41:E44"/>
    <mergeCell ref="F41:F44"/>
    <mergeCell ref="O36:Q36"/>
    <mergeCell ref="P41:P44"/>
    <mergeCell ref="Q41:Q44"/>
    <mergeCell ref="R41:R44"/>
    <mergeCell ref="S41:S44"/>
    <mergeCell ref="T41:T44"/>
    <mergeCell ref="R37:R39"/>
    <mergeCell ref="S37:S39"/>
    <mergeCell ref="T37:T39"/>
    <mergeCell ref="J9:J12"/>
    <mergeCell ref="K9:K12"/>
    <mergeCell ref="U36:U44"/>
    <mergeCell ref="C37:D39"/>
    <mergeCell ref="E37:F39"/>
    <mergeCell ref="G37:H39"/>
    <mergeCell ref="I37:J39"/>
    <mergeCell ref="K37:M39"/>
    <mergeCell ref="N37:N39"/>
    <mergeCell ref="O37:Q39"/>
    <mergeCell ref="G41:G44"/>
    <mergeCell ref="H41:H44"/>
    <mergeCell ref="I41:I44"/>
    <mergeCell ref="J41:J44"/>
    <mergeCell ref="K41:K44"/>
    <mergeCell ref="L41:L44"/>
    <mergeCell ref="M41:M44"/>
    <mergeCell ref="N41:N44"/>
    <mergeCell ref="O41:O44"/>
    <mergeCell ref="A70:B78"/>
    <mergeCell ref="C70:D70"/>
    <mergeCell ref="E70:F70"/>
    <mergeCell ref="G70:H70"/>
    <mergeCell ref="I70:J70"/>
    <mergeCell ref="K70:M70"/>
    <mergeCell ref="O70:Q70"/>
    <mergeCell ref="U70:U78"/>
    <mergeCell ref="C71:D73"/>
    <mergeCell ref="E71:F73"/>
    <mergeCell ref="G71:H73"/>
    <mergeCell ref="I71:J73"/>
    <mergeCell ref="K71:M73"/>
    <mergeCell ref="N71:N73"/>
    <mergeCell ref="O71:Q73"/>
    <mergeCell ref="R71:R73"/>
    <mergeCell ref="S71:S73"/>
    <mergeCell ref="T71:T73"/>
    <mergeCell ref="C75:C78"/>
    <mergeCell ref="D75:D78"/>
    <mergeCell ref="E75:E78"/>
    <mergeCell ref="F75:F78"/>
    <mergeCell ref="G75:G78"/>
    <mergeCell ref="H75:H78"/>
    <mergeCell ref="I75:I78"/>
    <mergeCell ref="J75:J78"/>
    <mergeCell ref="K75:K78"/>
    <mergeCell ref="R75:R78"/>
    <mergeCell ref="S75:S78"/>
    <mergeCell ref="T75:T78"/>
    <mergeCell ref="L75:L78"/>
    <mergeCell ref="M75:M78"/>
    <mergeCell ref="N75:N78"/>
    <mergeCell ref="O75:O78"/>
    <mergeCell ref="P75:P78"/>
    <mergeCell ref="Q75:Q78"/>
    <mergeCell ref="C93:E93"/>
    <mergeCell ref="H93:J93"/>
    <mergeCell ref="N93:P93"/>
    <mergeCell ref="C94:E94"/>
    <mergeCell ref="C91:E91"/>
    <mergeCell ref="H91:J91"/>
    <mergeCell ref="N91:P91"/>
    <mergeCell ref="C92:E92"/>
    <mergeCell ref="H92:J92"/>
    <mergeCell ref="N92:P92"/>
  </mergeCells>
  <printOptions/>
  <pageMargins left="0.37" right="0.15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0"/>
  <sheetViews>
    <sheetView view="pageBreakPreview" zoomScale="110" zoomScaleNormal="90" zoomScaleSheetLayoutView="110" zoomScalePageLayoutView="0" workbookViewId="0" topLeftCell="A145">
      <selection activeCell="C163" sqref="C163:C166"/>
    </sheetView>
  </sheetViews>
  <sheetFormatPr defaultColWidth="9.140625" defaultRowHeight="15"/>
  <cols>
    <col min="1" max="1" width="1.7109375" style="1" customWidth="1"/>
    <col min="2" max="2" width="21.28125" style="132" customWidth="1"/>
    <col min="3" max="4" width="7.57421875" style="1" customWidth="1"/>
    <col min="5" max="5" width="6.57421875" style="1" customWidth="1"/>
    <col min="6" max="6" width="7.140625" style="1" customWidth="1"/>
    <col min="7" max="7" width="7.57421875" style="1" customWidth="1"/>
    <col min="8" max="8" width="6.421875" style="1" customWidth="1"/>
    <col min="9" max="9" width="7.8515625" style="1" customWidth="1"/>
    <col min="10" max="10" width="8.00390625" style="1" customWidth="1"/>
    <col min="11" max="11" width="7.421875" style="1" customWidth="1"/>
    <col min="12" max="12" width="6.8515625" style="1" customWidth="1"/>
    <col min="13" max="13" width="7.00390625" style="1" customWidth="1"/>
    <col min="14" max="14" width="7.140625" style="1" customWidth="1"/>
    <col min="15" max="15" width="5.7109375" style="1" customWidth="1"/>
    <col min="16" max="16" width="7.57421875" style="1" customWidth="1"/>
    <col min="17" max="17" width="10.57421875" style="131" customWidth="1"/>
    <col min="18" max="18" width="10.57421875" style="1" customWidth="1"/>
    <col min="19" max="19" width="10.140625" style="2" bestFit="1" customWidth="1"/>
    <col min="20" max="20" width="9.00390625" style="1" customWidth="1"/>
    <col min="21" max="21" width="10.8515625" style="1" bestFit="1" customWidth="1"/>
    <col min="22" max="22" width="1.7109375" style="1" customWidth="1"/>
    <col min="23" max="23" width="21.28125" style="132" customWidth="1"/>
    <col min="24" max="16384" width="9.00390625" style="1" customWidth="1"/>
  </cols>
  <sheetData>
    <row r="1" spans="1:19" s="4" customFormat="1" ht="14.25">
      <c r="A1" s="463" t="s">
        <v>57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S1" s="5"/>
    </row>
    <row r="2" spans="1:23" ht="12.75" customHeight="1">
      <c r="A2" s="463" t="s">
        <v>58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W2" s="1"/>
    </row>
    <row r="3" spans="1:19" s="372" customFormat="1" ht="14.25">
      <c r="A3" s="515" t="s">
        <v>436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S3" s="371"/>
    </row>
    <row r="4" spans="1:23" ht="14.25">
      <c r="A4" s="465" t="s">
        <v>59</v>
      </c>
      <c r="B4" s="466"/>
      <c r="C4" s="471" t="s">
        <v>60</v>
      </c>
      <c r="D4" s="471"/>
      <c r="E4" s="471" t="s">
        <v>61</v>
      </c>
      <c r="F4" s="471"/>
      <c r="G4" s="113" t="s">
        <v>62</v>
      </c>
      <c r="H4" s="113" t="s">
        <v>63</v>
      </c>
      <c r="I4" s="471" t="s">
        <v>64</v>
      </c>
      <c r="J4" s="471"/>
      <c r="K4" s="471"/>
      <c r="L4" s="113" t="s">
        <v>65</v>
      </c>
      <c r="M4" s="471" t="s">
        <v>66</v>
      </c>
      <c r="N4" s="471"/>
      <c r="O4" s="113" t="s">
        <v>67</v>
      </c>
      <c r="P4" s="113" t="s">
        <v>69</v>
      </c>
      <c r="Q4" s="519" t="s">
        <v>17</v>
      </c>
      <c r="V4" s="465" t="s">
        <v>59</v>
      </c>
      <c r="W4" s="466"/>
    </row>
    <row r="5" spans="1:23" s="4" customFormat="1" ht="14.25" customHeight="1">
      <c r="A5" s="467"/>
      <c r="B5" s="468"/>
      <c r="C5" s="462" t="s">
        <v>70</v>
      </c>
      <c r="D5" s="462"/>
      <c r="E5" s="528" t="s">
        <v>71</v>
      </c>
      <c r="F5" s="529"/>
      <c r="G5" s="475" t="s">
        <v>72</v>
      </c>
      <c r="H5" s="475" t="s">
        <v>73</v>
      </c>
      <c r="I5" s="462" t="s">
        <v>74</v>
      </c>
      <c r="J5" s="462"/>
      <c r="K5" s="462"/>
      <c r="L5" s="462" t="s">
        <v>289</v>
      </c>
      <c r="M5" s="475" t="s">
        <v>76</v>
      </c>
      <c r="N5" s="475"/>
      <c r="O5" s="462" t="s">
        <v>77</v>
      </c>
      <c r="P5" s="462" t="s">
        <v>79</v>
      </c>
      <c r="Q5" s="519"/>
      <c r="S5" s="5"/>
      <c r="V5" s="467"/>
      <c r="W5" s="468"/>
    </row>
    <row r="6" spans="1:23" s="6" customFormat="1" ht="14.25" customHeight="1">
      <c r="A6" s="467"/>
      <c r="B6" s="468"/>
      <c r="C6" s="462"/>
      <c r="D6" s="462"/>
      <c r="E6" s="530"/>
      <c r="F6" s="531"/>
      <c r="G6" s="475"/>
      <c r="H6" s="475"/>
      <c r="I6" s="462"/>
      <c r="J6" s="462"/>
      <c r="K6" s="462"/>
      <c r="L6" s="462"/>
      <c r="M6" s="475"/>
      <c r="N6" s="475"/>
      <c r="O6" s="462"/>
      <c r="P6" s="462"/>
      <c r="Q6" s="519"/>
      <c r="S6" s="5"/>
      <c r="V6" s="467"/>
      <c r="W6" s="468"/>
    </row>
    <row r="7" spans="1:23" s="6" customFormat="1" ht="14.25">
      <c r="A7" s="467"/>
      <c r="B7" s="468"/>
      <c r="C7" s="462"/>
      <c r="D7" s="462"/>
      <c r="E7" s="532"/>
      <c r="F7" s="533"/>
      <c r="G7" s="475"/>
      <c r="H7" s="475"/>
      <c r="I7" s="462"/>
      <c r="J7" s="462"/>
      <c r="K7" s="462"/>
      <c r="L7" s="462"/>
      <c r="M7" s="475"/>
      <c r="N7" s="475"/>
      <c r="O7" s="462"/>
      <c r="P7" s="462"/>
      <c r="Q7" s="519"/>
      <c r="S7" s="5"/>
      <c r="V7" s="467"/>
      <c r="W7" s="468"/>
    </row>
    <row r="8" spans="1:23" ht="14.25">
      <c r="A8" s="467"/>
      <c r="B8" s="468"/>
      <c r="C8" s="113" t="s">
        <v>80</v>
      </c>
      <c r="D8" s="113" t="s">
        <v>81</v>
      </c>
      <c r="E8" s="113" t="s">
        <v>82</v>
      </c>
      <c r="F8" s="113" t="s">
        <v>83</v>
      </c>
      <c r="G8" s="113" t="s">
        <v>85</v>
      </c>
      <c r="H8" s="113" t="s">
        <v>87</v>
      </c>
      <c r="I8" s="113" t="s">
        <v>88</v>
      </c>
      <c r="J8" s="113" t="s">
        <v>89</v>
      </c>
      <c r="K8" s="113" t="s">
        <v>90</v>
      </c>
      <c r="L8" s="113" t="s">
        <v>91</v>
      </c>
      <c r="M8" s="113" t="s">
        <v>93</v>
      </c>
      <c r="N8" s="113" t="s">
        <v>94</v>
      </c>
      <c r="O8" s="113" t="s">
        <v>95</v>
      </c>
      <c r="P8" s="113" t="s">
        <v>97</v>
      </c>
      <c r="Q8" s="519"/>
      <c r="V8" s="467"/>
      <c r="W8" s="468"/>
    </row>
    <row r="9" spans="1:23" ht="14.25" customHeight="1">
      <c r="A9" s="467"/>
      <c r="B9" s="468"/>
      <c r="C9" s="462" t="s">
        <v>98</v>
      </c>
      <c r="D9" s="462" t="s">
        <v>99</v>
      </c>
      <c r="E9" s="462" t="s">
        <v>100</v>
      </c>
      <c r="F9" s="462" t="s">
        <v>101</v>
      </c>
      <c r="G9" s="462" t="s">
        <v>103</v>
      </c>
      <c r="H9" s="462" t="s">
        <v>105</v>
      </c>
      <c r="I9" s="462" t="s">
        <v>106</v>
      </c>
      <c r="J9" s="462" t="s">
        <v>107</v>
      </c>
      <c r="K9" s="462" t="s">
        <v>108</v>
      </c>
      <c r="L9" s="462" t="s">
        <v>288</v>
      </c>
      <c r="M9" s="462" t="s">
        <v>111</v>
      </c>
      <c r="N9" s="462" t="s">
        <v>112</v>
      </c>
      <c r="O9" s="462" t="s">
        <v>113</v>
      </c>
      <c r="P9" s="462" t="s">
        <v>115</v>
      </c>
      <c r="Q9" s="519"/>
      <c r="V9" s="467"/>
      <c r="W9" s="468"/>
    </row>
    <row r="10" spans="1:23" ht="14.25">
      <c r="A10" s="467"/>
      <c r="B10" s="468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519"/>
      <c r="V10" s="467"/>
      <c r="W10" s="468"/>
    </row>
    <row r="11" spans="1:23" ht="14.25">
      <c r="A11" s="467"/>
      <c r="B11" s="468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519"/>
      <c r="V11" s="467"/>
      <c r="W11" s="468"/>
    </row>
    <row r="12" spans="1:23" ht="14.25">
      <c r="A12" s="469"/>
      <c r="B12" s="470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519"/>
      <c r="V12" s="469"/>
      <c r="W12" s="470"/>
    </row>
    <row r="13" spans="1:23" ht="14.25">
      <c r="A13" s="140" t="s">
        <v>115</v>
      </c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3"/>
      <c r="V13" s="140" t="s">
        <v>115</v>
      </c>
      <c r="W13" s="141"/>
    </row>
    <row r="14" spans="1:23" ht="14.25">
      <c r="A14" s="144"/>
      <c r="B14" s="145" t="s">
        <v>116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>
        <v>10202</v>
      </c>
      <c r="Q14" s="146">
        <f aca="true" t="shared" si="0" ref="Q14:Q20">SUM(C14:P14)</f>
        <v>10202</v>
      </c>
      <c r="R14" s="3">
        <f>SUM(Q14)</f>
        <v>10202</v>
      </c>
      <c r="V14" s="144"/>
      <c r="W14" s="145" t="s">
        <v>116</v>
      </c>
    </row>
    <row r="15" spans="1:23" ht="14.25">
      <c r="A15" s="144"/>
      <c r="B15" s="145" t="s">
        <v>394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>
        <v>0</v>
      </c>
      <c r="Q15" s="146">
        <f t="shared" si="0"/>
        <v>0</v>
      </c>
      <c r="R15" s="3">
        <f aca="true" t="shared" si="1" ref="R15:R78">SUM(Q15)</f>
        <v>0</v>
      </c>
      <c r="V15" s="144"/>
      <c r="W15" s="145" t="s">
        <v>291</v>
      </c>
    </row>
    <row r="16" spans="1:23" ht="14.25">
      <c r="A16" s="144"/>
      <c r="B16" s="145" t="s">
        <v>195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>
        <v>0</v>
      </c>
      <c r="Q16" s="146">
        <f t="shared" si="0"/>
        <v>0</v>
      </c>
      <c r="R16" s="3">
        <f t="shared" si="1"/>
        <v>0</v>
      </c>
      <c r="V16" s="144"/>
      <c r="W16" s="145" t="s">
        <v>195</v>
      </c>
    </row>
    <row r="17" spans="1:23" ht="14.25">
      <c r="A17" s="144"/>
      <c r="B17" s="145" t="s">
        <v>117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>
        <v>96000</v>
      </c>
      <c r="Q17" s="146">
        <f t="shared" si="0"/>
        <v>96000</v>
      </c>
      <c r="R17" s="3">
        <f t="shared" si="1"/>
        <v>96000</v>
      </c>
      <c r="V17" s="144"/>
      <c r="W17" s="145" t="s">
        <v>117</v>
      </c>
    </row>
    <row r="18" spans="1:23" ht="14.25">
      <c r="A18" s="144"/>
      <c r="B18" s="145" t="s">
        <v>118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>
        <v>1000</v>
      </c>
      <c r="Q18" s="146">
        <f t="shared" si="0"/>
        <v>1000</v>
      </c>
      <c r="R18" s="3">
        <f t="shared" si="1"/>
        <v>1000</v>
      </c>
      <c r="V18" s="144"/>
      <c r="W18" s="145" t="s">
        <v>118</v>
      </c>
    </row>
    <row r="19" spans="1:23" ht="14.25">
      <c r="A19" s="144"/>
      <c r="B19" s="145" t="s">
        <v>373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>
        <v>458800</v>
      </c>
      <c r="Q19" s="146">
        <f t="shared" si="0"/>
        <v>458800</v>
      </c>
      <c r="R19" s="3"/>
      <c r="V19" s="144"/>
      <c r="W19" s="145" t="s">
        <v>218</v>
      </c>
    </row>
    <row r="20" spans="1:23" ht="14.25">
      <c r="A20" s="144"/>
      <c r="B20" s="145" t="s">
        <v>291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>
        <v>0</v>
      </c>
      <c r="Q20" s="146">
        <f t="shared" si="0"/>
        <v>0</v>
      </c>
      <c r="R20" s="3">
        <f t="shared" si="1"/>
        <v>0</v>
      </c>
      <c r="V20" s="144"/>
      <c r="W20" s="145" t="s">
        <v>362</v>
      </c>
    </row>
    <row r="21" spans="1:23" ht="14.25">
      <c r="A21" s="120" t="s">
        <v>120</v>
      </c>
      <c r="B21" s="145"/>
      <c r="C21" s="122">
        <f aca="true" t="shared" si="2" ref="C21:Q21">SUM(C14:C20)</f>
        <v>0</v>
      </c>
      <c r="D21" s="122">
        <f t="shared" si="2"/>
        <v>0</v>
      </c>
      <c r="E21" s="122">
        <f t="shared" si="2"/>
        <v>0</v>
      </c>
      <c r="F21" s="122">
        <f t="shared" si="2"/>
        <v>0</v>
      </c>
      <c r="G21" s="122">
        <f t="shared" si="2"/>
        <v>0</v>
      </c>
      <c r="H21" s="122">
        <f t="shared" si="2"/>
        <v>0</v>
      </c>
      <c r="I21" s="122">
        <f t="shared" si="2"/>
        <v>0</v>
      </c>
      <c r="J21" s="122">
        <f t="shared" si="2"/>
        <v>0</v>
      </c>
      <c r="K21" s="122">
        <f t="shared" si="2"/>
        <v>0</v>
      </c>
      <c r="L21" s="122">
        <f t="shared" si="2"/>
        <v>0</v>
      </c>
      <c r="M21" s="122">
        <f t="shared" si="2"/>
        <v>0</v>
      </c>
      <c r="N21" s="122">
        <f t="shared" si="2"/>
        <v>0</v>
      </c>
      <c r="O21" s="122">
        <f t="shared" si="2"/>
        <v>0</v>
      </c>
      <c r="P21" s="123">
        <f t="shared" si="2"/>
        <v>566002</v>
      </c>
      <c r="Q21" s="146">
        <f t="shared" si="2"/>
        <v>566002</v>
      </c>
      <c r="R21" s="3">
        <f t="shared" si="1"/>
        <v>566002</v>
      </c>
      <c r="V21" s="120" t="s">
        <v>120</v>
      </c>
      <c r="W21" s="145"/>
    </row>
    <row r="22" spans="1:23" ht="14.25">
      <c r="A22" s="134" t="s">
        <v>121</v>
      </c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9">
        <f>553600+564994+1212699.41+558900+576718+565594+564634+566634+564717-43+566002</f>
        <v>6294449.41</v>
      </c>
      <c r="Q22" s="150">
        <f>SUM(C22:P22)</f>
        <v>6294449.41</v>
      </c>
      <c r="R22" s="3">
        <f t="shared" si="1"/>
        <v>6294449.41</v>
      </c>
      <c r="V22" s="134" t="s">
        <v>121</v>
      </c>
      <c r="W22" s="147"/>
    </row>
    <row r="23" spans="1:23" ht="14.25">
      <c r="A23" s="115" t="s">
        <v>122</v>
      </c>
      <c r="B23" s="151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52"/>
      <c r="R23" s="3">
        <f t="shared" si="1"/>
        <v>0</v>
      </c>
      <c r="V23" s="115" t="s">
        <v>122</v>
      </c>
      <c r="W23" s="151"/>
    </row>
    <row r="24" spans="1:23" ht="14.25">
      <c r="A24" s="144"/>
      <c r="B24" s="145" t="s">
        <v>344</v>
      </c>
      <c r="C24" s="122">
        <f>57960+10000+10000</f>
        <v>77960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46">
        <f>SUM(C24:P24)</f>
        <v>77960</v>
      </c>
      <c r="R24" s="3">
        <f t="shared" si="1"/>
        <v>77960</v>
      </c>
      <c r="V24" s="144"/>
      <c r="W24" s="145" t="s">
        <v>344</v>
      </c>
    </row>
    <row r="25" spans="1:23" ht="14.25">
      <c r="A25" s="144"/>
      <c r="B25" s="145" t="s">
        <v>205</v>
      </c>
      <c r="C25" s="122">
        <v>16560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46">
        <f>SUM(C25:P25)</f>
        <v>16560</v>
      </c>
      <c r="R25" s="3">
        <f t="shared" si="1"/>
        <v>16560</v>
      </c>
      <c r="V25" s="144"/>
      <c r="W25" s="145" t="s">
        <v>205</v>
      </c>
    </row>
    <row r="26" spans="1:23" ht="14.25">
      <c r="A26" s="144"/>
      <c r="B26" s="145" t="s">
        <v>206</v>
      </c>
      <c r="C26" s="122">
        <v>124200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46">
        <f>SUM(C26:P26)</f>
        <v>124200</v>
      </c>
      <c r="R26" s="3">
        <f t="shared" si="1"/>
        <v>124200</v>
      </c>
      <c r="V26" s="144"/>
      <c r="W26" s="145" t="s">
        <v>206</v>
      </c>
    </row>
    <row r="27" spans="1:23" ht="13.5" customHeight="1">
      <c r="A27" s="120" t="s">
        <v>120</v>
      </c>
      <c r="B27" s="145"/>
      <c r="C27" s="122">
        <f aca="true" t="shared" si="3" ref="C27:P27">SUM(C24:C26)</f>
        <v>218720</v>
      </c>
      <c r="D27" s="122">
        <f t="shared" si="3"/>
        <v>0</v>
      </c>
      <c r="E27" s="122">
        <f t="shared" si="3"/>
        <v>0</v>
      </c>
      <c r="F27" s="122">
        <f t="shared" si="3"/>
        <v>0</v>
      </c>
      <c r="G27" s="122">
        <f t="shared" si="3"/>
        <v>0</v>
      </c>
      <c r="H27" s="122">
        <f t="shared" si="3"/>
        <v>0</v>
      </c>
      <c r="I27" s="122">
        <f t="shared" si="3"/>
        <v>0</v>
      </c>
      <c r="J27" s="122">
        <f t="shared" si="3"/>
        <v>0</v>
      </c>
      <c r="K27" s="122">
        <f t="shared" si="3"/>
        <v>0</v>
      </c>
      <c r="L27" s="122">
        <f t="shared" si="3"/>
        <v>0</v>
      </c>
      <c r="M27" s="122">
        <f t="shared" si="3"/>
        <v>0</v>
      </c>
      <c r="N27" s="122">
        <f t="shared" si="3"/>
        <v>0</v>
      </c>
      <c r="O27" s="122">
        <f t="shared" si="3"/>
        <v>0</v>
      </c>
      <c r="P27" s="122">
        <f t="shared" si="3"/>
        <v>0</v>
      </c>
      <c r="Q27" s="146">
        <f>SUM(Q24:Q26)</f>
        <v>218720</v>
      </c>
      <c r="R27" s="3">
        <f t="shared" si="1"/>
        <v>218720</v>
      </c>
      <c r="V27" s="120" t="s">
        <v>120</v>
      </c>
      <c r="W27" s="145"/>
    </row>
    <row r="28" spans="1:23" ht="14.25">
      <c r="A28" s="134" t="s">
        <v>121</v>
      </c>
      <c r="B28" s="147"/>
      <c r="C28" s="148">
        <f>218720+218720+218720+218720+218720+218720+218720+218720+218720+218720</f>
        <v>2187200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50">
        <f>SUM(C28:P28)</f>
        <v>2187200</v>
      </c>
      <c r="R28" s="3">
        <f>SUM(Q27+Q38)</f>
        <v>861382</v>
      </c>
      <c r="V28" s="134" t="s">
        <v>121</v>
      </c>
      <c r="W28" s="147"/>
    </row>
    <row r="29" spans="1:23" ht="14.25">
      <c r="A29" s="115" t="s">
        <v>126</v>
      </c>
      <c r="B29" s="151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52"/>
      <c r="R29" s="3">
        <f t="shared" si="1"/>
        <v>0</v>
      </c>
      <c r="T29" s="3">
        <f>SUM(Q27+Q38)</f>
        <v>861382</v>
      </c>
      <c r="U29" s="3"/>
      <c r="V29" s="115" t="s">
        <v>126</v>
      </c>
      <c r="W29" s="151"/>
    </row>
    <row r="30" spans="1:23" ht="14.25">
      <c r="A30" s="144"/>
      <c r="B30" s="145" t="s">
        <v>127</v>
      </c>
      <c r="C30" s="122">
        <v>169440</v>
      </c>
      <c r="D30" s="122">
        <v>59720</v>
      </c>
      <c r="E30" s="122"/>
      <c r="F30" s="122"/>
      <c r="G30" s="122">
        <v>93080</v>
      </c>
      <c r="H30" s="122"/>
      <c r="I30" s="122">
        <v>55250</v>
      </c>
      <c r="J30" s="122"/>
      <c r="K30" s="122"/>
      <c r="L30" s="122"/>
      <c r="M30" s="122"/>
      <c r="N30" s="122"/>
      <c r="O30" s="122"/>
      <c r="P30" s="122"/>
      <c r="Q30" s="146">
        <f>SUM(C30:P30)</f>
        <v>377490</v>
      </c>
      <c r="R30" s="3">
        <f t="shared" si="1"/>
        <v>377490</v>
      </c>
      <c r="V30" s="144"/>
      <c r="W30" s="145" t="s">
        <v>127</v>
      </c>
    </row>
    <row r="31" spans="1:23" ht="14.25">
      <c r="A31" s="144"/>
      <c r="B31" s="145" t="s">
        <v>128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46">
        <f aca="true" t="shared" si="4" ref="Q31:Q38">SUM(C31:P31)</f>
        <v>0</v>
      </c>
      <c r="R31" s="3">
        <f t="shared" si="1"/>
        <v>0</v>
      </c>
      <c r="V31" s="144"/>
      <c r="W31" s="145" t="s">
        <v>128</v>
      </c>
    </row>
    <row r="32" spans="1:23" ht="14.25">
      <c r="A32" s="144"/>
      <c r="B32" s="145" t="s">
        <v>129</v>
      </c>
      <c r="C32" s="122">
        <v>7500</v>
      </c>
      <c r="D32" s="122"/>
      <c r="E32" s="122"/>
      <c r="F32" s="122"/>
      <c r="G32" s="122"/>
      <c r="H32" s="122"/>
      <c r="I32" s="122">
        <v>3500</v>
      </c>
      <c r="J32" s="122"/>
      <c r="K32" s="122"/>
      <c r="L32" s="122"/>
      <c r="M32" s="122"/>
      <c r="N32" s="122"/>
      <c r="O32" s="122"/>
      <c r="P32" s="122"/>
      <c r="Q32" s="146">
        <f t="shared" si="4"/>
        <v>11000</v>
      </c>
      <c r="R32" s="3">
        <f t="shared" si="1"/>
        <v>11000</v>
      </c>
      <c r="V32" s="144"/>
      <c r="W32" s="145" t="s">
        <v>129</v>
      </c>
    </row>
    <row r="33" spans="1:23" ht="14.25">
      <c r="A33" s="144"/>
      <c r="B33" s="145" t="s">
        <v>371</v>
      </c>
      <c r="C33" s="122"/>
      <c r="D33" s="122"/>
      <c r="E33" s="122"/>
      <c r="F33" s="122"/>
      <c r="G33" s="122">
        <v>3500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46">
        <f>SUM(C33:P33)</f>
        <v>3500</v>
      </c>
      <c r="R33" s="3"/>
      <c r="V33" s="144"/>
      <c r="W33" s="145"/>
    </row>
    <row r="34" spans="1:23" ht="14.25">
      <c r="A34" s="144"/>
      <c r="B34" s="145" t="s">
        <v>130</v>
      </c>
      <c r="C34" s="122"/>
      <c r="D34" s="122">
        <v>42590</v>
      </c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46">
        <f t="shared" si="4"/>
        <v>42590</v>
      </c>
      <c r="R34" s="3">
        <f t="shared" si="1"/>
        <v>42590</v>
      </c>
      <c r="V34" s="144"/>
      <c r="W34" s="145" t="s">
        <v>130</v>
      </c>
    </row>
    <row r="35" spans="1:23" ht="14.25">
      <c r="A35" s="144"/>
      <c r="B35" s="145" t="s">
        <v>131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46">
        <f t="shared" si="4"/>
        <v>0</v>
      </c>
      <c r="R35" s="3">
        <f t="shared" si="1"/>
        <v>0</v>
      </c>
      <c r="S35" s="2">
        <f>SUM(Q35+Q24)</f>
        <v>77960</v>
      </c>
      <c r="V35" s="144"/>
      <c r="W35" s="145" t="s">
        <v>131</v>
      </c>
    </row>
    <row r="36" spans="1:23" ht="14.25">
      <c r="A36" s="144"/>
      <c r="B36" s="145" t="s">
        <v>132</v>
      </c>
      <c r="C36" s="122">
        <v>97128</v>
      </c>
      <c r="D36" s="122">
        <v>30130</v>
      </c>
      <c r="E36" s="122"/>
      <c r="F36" s="122"/>
      <c r="G36" s="122">
        <v>25560</v>
      </c>
      <c r="H36" s="122"/>
      <c r="I36" s="122">
        <v>38920</v>
      </c>
      <c r="J36" s="122"/>
      <c r="K36" s="122"/>
      <c r="L36" s="122"/>
      <c r="M36" s="122"/>
      <c r="N36" s="122"/>
      <c r="O36" s="122"/>
      <c r="P36" s="122"/>
      <c r="Q36" s="146">
        <f t="shared" si="4"/>
        <v>191738</v>
      </c>
      <c r="R36" s="3">
        <f t="shared" si="1"/>
        <v>191738</v>
      </c>
      <c r="V36" s="144"/>
      <c r="W36" s="145" t="s">
        <v>132</v>
      </c>
    </row>
    <row r="37" spans="1:23" s="4" customFormat="1" ht="14.25">
      <c r="A37" s="144"/>
      <c r="B37" s="145" t="s">
        <v>133</v>
      </c>
      <c r="C37" s="122">
        <v>7814</v>
      </c>
      <c r="D37" s="122">
        <v>3155</v>
      </c>
      <c r="E37" s="122"/>
      <c r="F37" s="122"/>
      <c r="G37" s="122">
        <v>1010</v>
      </c>
      <c r="H37" s="122"/>
      <c r="I37" s="122">
        <v>4365</v>
      </c>
      <c r="J37" s="122"/>
      <c r="K37" s="122"/>
      <c r="L37" s="122"/>
      <c r="M37" s="122"/>
      <c r="N37" s="122"/>
      <c r="O37" s="122"/>
      <c r="P37" s="122"/>
      <c r="Q37" s="146">
        <f t="shared" si="4"/>
        <v>16344</v>
      </c>
      <c r="R37" s="3">
        <f t="shared" si="1"/>
        <v>16344</v>
      </c>
      <c r="S37" s="5"/>
      <c r="V37" s="144"/>
      <c r="W37" s="145" t="s">
        <v>133</v>
      </c>
    </row>
    <row r="38" spans="1:23" ht="14.25" customHeight="1">
      <c r="A38" s="120" t="s">
        <v>120</v>
      </c>
      <c r="B38" s="145"/>
      <c r="C38" s="122">
        <f>SUM(C30:C37)</f>
        <v>281882</v>
      </c>
      <c r="D38" s="122">
        <f aca="true" t="shared" si="5" ref="D38:P38">SUM(D30:D37)</f>
        <v>135595</v>
      </c>
      <c r="E38" s="122">
        <f t="shared" si="5"/>
        <v>0</v>
      </c>
      <c r="F38" s="122">
        <f t="shared" si="5"/>
        <v>0</v>
      </c>
      <c r="G38" s="122">
        <f t="shared" si="5"/>
        <v>123150</v>
      </c>
      <c r="H38" s="122">
        <f t="shared" si="5"/>
        <v>0</v>
      </c>
      <c r="I38" s="122">
        <f>SUM(I30:I37)</f>
        <v>102035</v>
      </c>
      <c r="J38" s="122">
        <f t="shared" si="5"/>
        <v>0</v>
      </c>
      <c r="K38" s="122">
        <f t="shared" si="5"/>
        <v>0</v>
      </c>
      <c r="L38" s="122">
        <f t="shared" si="5"/>
        <v>0</v>
      </c>
      <c r="M38" s="122">
        <f t="shared" si="5"/>
        <v>0</v>
      </c>
      <c r="N38" s="122">
        <f t="shared" si="5"/>
        <v>0</v>
      </c>
      <c r="O38" s="122">
        <f t="shared" si="5"/>
        <v>0</v>
      </c>
      <c r="P38" s="122">
        <f t="shared" si="5"/>
        <v>0</v>
      </c>
      <c r="Q38" s="146">
        <f t="shared" si="4"/>
        <v>642662</v>
      </c>
      <c r="R38" s="3">
        <f t="shared" si="1"/>
        <v>642662</v>
      </c>
      <c r="V38" s="120" t="s">
        <v>120</v>
      </c>
      <c r="W38" s="145"/>
    </row>
    <row r="39" spans="1:23" ht="14.25">
      <c r="A39" s="134" t="s">
        <v>121</v>
      </c>
      <c r="B39" s="147"/>
      <c r="C39" s="148">
        <f>289260+289260+289260+289260+289260+279260+282530+292530+273196+281882</f>
        <v>2855698</v>
      </c>
      <c r="D39" s="148">
        <f>117885+126184+133315+133315+133315+133315+135595+135595+135595+135595</f>
        <v>1319709</v>
      </c>
      <c r="E39" s="148"/>
      <c r="F39" s="148"/>
      <c r="G39" s="148">
        <f>123150+123150+123150+123150+123150+123150+123150+123150+123150+123150</f>
        <v>1231500</v>
      </c>
      <c r="H39" s="148"/>
      <c r="I39" s="148">
        <f>91045+101045+101045+101045+101045+101045+102035+102035+102035+102035</f>
        <v>1004410</v>
      </c>
      <c r="J39" s="148"/>
      <c r="K39" s="148"/>
      <c r="L39" s="148"/>
      <c r="M39" s="148"/>
      <c r="N39" s="148"/>
      <c r="O39" s="148"/>
      <c r="P39" s="148"/>
      <c r="Q39" s="150">
        <f>SUM(C39:P39)</f>
        <v>6411317</v>
      </c>
      <c r="R39" s="3">
        <f t="shared" si="1"/>
        <v>6411317</v>
      </c>
      <c r="V39" s="134" t="s">
        <v>121</v>
      </c>
      <c r="W39" s="147"/>
    </row>
    <row r="40" spans="1:23" ht="14.25">
      <c r="A40" s="160"/>
      <c r="B40" s="159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58" t="s">
        <v>261</v>
      </c>
      <c r="R40" s="56"/>
      <c r="V40" s="160"/>
      <c r="W40" s="159"/>
    </row>
    <row r="41" spans="1:23" ht="14.25">
      <c r="A41" s="465" t="s">
        <v>59</v>
      </c>
      <c r="B41" s="523"/>
      <c r="C41" s="471" t="s">
        <v>60</v>
      </c>
      <c r="D41" s="471"/>
      <c r="E41" s="471" t="s">
        <v>61</v>
      </c>
      <c r="F41" s="471"/>
      <c r="G41" s="113" t="s">
        <v>62</v>
      </c>
      <c r="H41" s="113" t="s">
        <v>63</v>
      </c>
      <c r="I41" s="471" t="s">
        <v>64</v>
      </c>
      <c r="J41" s="471"/>
      <c r="K41" s="471"/>
      <c r="L41" s="113" t="s">
        <v>65</v>
      </c>
      <c r="M41" s="471" t="s">
        <v>66</v>
      </c>
      <c r="N41" s="471"/>
      <c r="O41" s="113" t="s">
        <v>67</v>
      </c>
      <c r="P41" s="113" t="s">
        <v>69</v>
      </c>
      <c r="Q41" s="519" t="s">
        <v>17</v>
      </c>
      <c r="R41" s="3">
        <f t="shared" si="1"/>
        <v>0</v>
      </c>
      <c r="V41" s="465" t="s">
        <v>59</v>
      </c>
      <c r="W41" s="523"/>
    </row>
    <row r="42" spans="1:23" s="4" customFormat="1" ht="14.25" customHeight="1">
      <c r="A42" s="524"/>
      <c r="B42" s="525"/>
      <c r="C42" s="462" t="s">
        <v>70</v>
      </c>
      <c r="D42" s="462"/>
      <c r="E42" s="475" t="s">
        <v>71</v>
      </c>
      <c r="F42" s="475"/>
      <c r="G42" s="475" t="s">
        <v>72</v>
      </c>
      <c r="H42" s="475" t="s">
        <v>73</v>
      </c>
      <c r="I42" s="462" t="s">
        <v>74</v>
      </c>
      <c r="J42" s="462"/>
      <c r="K42" s="462"/>
      <c r="L42" s="462" t="s">
        <v>289</v>
      </c>
      <c r="M42" s="475" t="s">
        <v>76</v>
      </c>
      <c r="N42" s="475"/>
      <c r="O42" s="462" t="s">
        <v>77</v>
      </c>
      <c r="P42" s="462" t="s">
        <v>79</v>
      </c>
      <c r="Q42" s="519"/>
      <c r="R42" s="3">
        <f t="shared" si="1"/>
        <v>0</v>
      </c>
      <c r="S42" s="5"/>
      <c r="V42" s="524"/>
      <c r="W42" s="525"/>
    </row>
    <row r="43" spans="1:23" s="6" customFormat="1" ht="14.25" customHeight="1">
      <c r="A43" s="524"/>
      <c r="B43" s="525"/>
      <c r="C43" s="462"/>
      <c r="D43" s="462"/>
      <c r="E43" s="475"/>
      <c r="F43" s="475"/>
      <c r="G43" s="475"/>
      <c r="H43" s="475"/>
      <c r="I43" s="462"/>
      <c r="J43" s="462"/>
      <c r="K43" s="462"/>
      <c r="L43" s="462"/>
      <c r="M43" s="475"/>
      <c r="N43" s="475"/>
      <c r="O43" s="462"/>
      <c r="P43" s="462"/>
      <c r="Q43" s="519"/>
      <c r="R43" s="3">
        <f t="shared" si="1"/>
        <v>0</v>
      </c>
      <c r="S43" s="5"/>
      <c r="V43" s="524"/>
      <c r="W43" s="525"/>
    </row>
    <row r="44" spans="1:23" s="6" customFormat="1" ht="14.25">
      <c r="A44" s="524"/>
      <c r="B44" s="525"/>
      <c r="C44" s="462"/>
      <c r="D44" s="462"/>
      <c r="E44" s="475"/>
      <c r="F44" s="475"/>
      <c r="G44" s="475"/>
      <c r="H44" s="475"/>
      <c r="I44" s="462"/>
      <c r="J44" s="462"/>
      <c r="K44" s="462"/>
      <c r="L44" s="462"/>
      <c r="M44" s="475"/>
      <c r="N44" s="475"/>
      <c r="O44" s="462"/>
      <c r="P44" s="462"/>
      <c r="Q44" s="519"/>
      <c r="R44" s="3">
        <f t="shared" si="1"/>
        <v>0</v>
      </c>
      <c r="S44" s="5"/>
      <c r="V44" s="524"/>
      <c r="W44" s="525"/>
    </row>
    <row r="45" spans="1:23" ht="14.25">
      <c r="A45" s="524"/>
      <c r="B45" s="525"/>
      <c r="C45" s="113" t="s">
        <v>80</v>
      </c>
      <c r="D45" s="113" t="s">
        <v>81</v>
      </c>
      <c r="E45" s="113" t="s">
        <v>82</v>
      </c>
      <c r="F45" s="113" t="s">
        <v>83</v>
      </c>
      <c r="G45" s="113" t="s">
        <v>85</v>
      </c>
      <c r="H45" s="113" t="s">
        <v>87</v>
      </c>
      <c r="I45" s="113" t="s">
        <v>88</v>
      </c>
      <c r="J45" s="113" t="s">
        <v>89</v>
      </c>
      <c r="K45" s="113" t="s">
        <v>90</v>
      </c>
      <c r="L45" s="113" t="s">
        <v>91</v>
      </c>
      <c r="M45" s="113" t="s">
        <v>93</v>
      </c>
      <c r="N45" s="113" t="s">
        <v>94</v>
      </c>
      <c r="O45" s="113" t="s">
        <v>95</v>
      </c>
      <c r="P45" s="113" t="s">
        <v>97</v>
      </c>
      <c r="Q45" s="519"/>
      <c r="R45" s="3">
        <f t="shared" si="1"/>
        <v>0</v>
      </c>
      <c r="V45" s="524"/>
      <c r="W45" s="525"/>
    </row>
    <row r="46" spans="1:23" ht="14.25" customHeight="1">
      <c r="A46" s="524"/>
      <c r="B46" s="525"/>
      <c r="C46" s="462" t="s">
        <v>98</v>
      </c>
      <c r="D46" s="462" t="s">
        <v>99</v>
      </c>
      <c r="E46" s="517" t="s">
        <v>100</v>
      </c>
      <c r="F46" s="462" t="s">
        <v>101</v>
      </c>
      <c r="G46" s="462" t="s">
        <v>103</v>
      </c>
      <c r="H46" s="462" t="s">
        <v>105</v>
      </c>
      <c r="I46" s="462" t="s">
        <v>106</v>
      </c>
      <c r="J46" s="462" t="s">
        <v>107</v>
      </c>
      <c r="K46" s="462" t="s">
        <v>108</v>
      </c>
      <c r="L46" s="462" t="s">
        <v>288</v>
      </c>
      <c r="M46" s="462" t="s">
        <v>111</v>
      </c>
      <c r="N46" s="462" t="s">
        <v>112</v>
      </c>
      <c r="O46" s="462" t="s">
        <v>113</v>
      </c>
      <c r="P46" s="462" t="s">
        <v>115</v>
      </c>
      <c r="Q46" s="519"/>
      <c r="R46" s="3">
        <f t="shared" si="1"/>
        <v>0</v>
      </c>
      <c r="V46" s="524"/>
      <c r="W46" s="525"/>
    </row>
    <row r="47" spans="1:23" ht="14.25">
      <c r="A47" s="524"/>
      <c r="B47" s="525"/>
      <c r="C47" s="462"/>
      <c r="D47" s="462"/>
      <c r="E47" s="517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519"/>
      <c r="R47" s="3">
        <f t="shared" si="1"/>
        <v>0</v>
      </c>
      <c r="V47" s="524"/>
      <c r="W47" s="525"/>
    </row>
    <row r="48" spans="1:23" ht="14.25">
      <c r="A48" s="524"/>
      <c r="B48" s="525"/>
      <c r="C48" s="462"/>
      <c r="D48" s="462"/>
      <c r="E48" s="517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519"/>
      <c r="R48" s="3">
        <f t="shared" si="1"/>
        <v>0</v>
      </c>
      <c r="V48" s="524"/>
      <c r="W48" s="525"/>
    </row>
    <row r="49" spans="1:23" ht="14.25">
      <c r="A49" s="526"/>
      <c r="B49" s="527"/>
      <c r="C49" s="462"/>
      <c r="D49" s="462"/>
      <c r="E49" s="517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519"/>
      <c r="R49" s="3">
        <f t="shared" si="1"/>
        <v>0</v>
      </c>
      <c r="V49" s="526"/>
      <c r="W49" s="527"/>
    </row>
    <row r="50" spans="1:23" ht="14.25">
      <c r="A50" s="140" t="s">
        <v>8</v>
      </c>
      <c r="B50" s="14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3"/>
      <c r="R50" s="3">
        <f t="shared" si="1"/>
        <v>0</v>
      </c>
      <c r="V50" s="140" t="s">
        <v>8</v>
      </c>
      <c r="W50" s="141"/>
    </row>
    <row r="51" spans="1:23" ht="14.25">
      <c r="A51" s="144"/>
      <c r="B51" s="299" t="s">
        <v>134</v>
      </c>
      <c r="C51" s="122">
        <v>0</v>
      </c>
      <c r="D51" s="122"/>
      <c r="E51" s="122"/>
      <c r="F51" s="122">
        <v>0</v>
      </c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46">
        <f>SUM(C51:P51)</f>
        <v>0</v>
      </c>
      <c r="R51" s="3">
        <f t="shared" si="1"/>
        <v>0</v>
      </c>
      <c r="V51" s="144"/>
      <c r="W51" s="153" t="s">
        <v>134</v>
      </c>
    </row>
    <row r="52" spans="1:23" ht="14.25">
      <c r="A52" s="144"/>
      <c r="B52" s="145" t="s">
        <v>135</v>
      </c>
      <c r="C52" s="122">
        <v>0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46">
        <f aca="true" t="shared" si="6" ref="Q52:Q57">SUM(C52:P52)</f>
        <v>0</v>
      </c>
      <c r="R52" s="3">
        <f t="shared" si="1"/>
        <v>0</v>
      </c>
      <c r="V52" s="144"/>
      <c r="W52" s="145" t="s">
        <v>135</v>
      </c>
    </row>
    <row r="53" spans="1:23" ht="14.25">
      <c r="A53" s="144"/>
      <c r="B53" s="154" t="s">
        <v>136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46">
        <f t="shared" si="6"/>
        <v>0</v>
      </c>
      <c r="R53" s="3">
        <f t="shared" si="1"/>
        <v>0</v>
      </c>
      <c r="V53" s="144"/>
      <c r="W53" s="154" t="s">
        <v>136</v>
      </c>
    </row>
    <row r="54" spans="1:23" ht="14.25">
      <c r="A54" s="144"/>
      <c r="B54" s="145" t="s">
        <v>137</v>
      </c>
      <c r="C54" s="122">
        <v>10500</v>
      </c>
      <c r="D54" s="122">
        <v>4100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46">
        <f t="shared" si="6"/>
        <v>14600</v>
      </c>
      <c r="R54" s="3">
        <f t="shared" si="1"/>
        <v>14600</v>
      </c>
      <c r="V54" s="144"/>
      <c r="W54" s="145" t="s">
        <v>137</v>
      </c>
    </row>
    <row r="55" spans="1:23" ht="14.25">
      <c r="A55" s="144"/>
      <c r="B55" s="145" t="s">
        <v>138</v>
      </c>
      <c r="C55" s="122"/>
      <c r="D55" s="122"/>
      <c r="E55" s="122"/>
      <c r="F55" s="122"/>
      <c r="G55" s="122">
        <v>3300</v>
      </c>
      <c r="H55" s="122"/>
      <c r="I55" s="122"/>
      <c r="J55" s="122"/>
      <c r="K55" s="122"/>
      <c r="L55" s="122"/>
      <c r="M55" s="122"/>
      <c r="N55" s="122"/>
      <c r="O55" s="122"/>
      <c r="P55" s="122"/>
      <c r="Q55" s="146">
        <f t="shared" si="6"/>
        <v>3300</v>
      </c>
      <c r="R55" s="3">
        <f t="shared" si="1"/>
        <v>3300</v>
      </c>
      <c r="V55" s="144"/>
      <c r="W55" s="145" t="s">
        <v>138</v>
      </c>
    </row>
    <row r="56" spans="1:23" ht="14.25">
      <c r="A56" s="144"/>
      <c r="B56" s="145" t="s">
        <v>196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46">
        <f t="shared" si="6"/>
        <v>0</v>
      </c>
      <c r="R56" s="3">
        <f t="shared" si="1"/>
        <v>0</v>
      </c>
      <c r="V56" s="144"/>
      <c r="W56" s="145" t="s">
        <v>196</v>
      </c>
    </row>
    <row r="57" spans="1:23" ht="14.25">
      <c r="A57" s="120" t="s">
        <v>120</v>
      </c>
      <c r="B57" s="145"/>
      <c r="C57" s="122">
        <f>SUM(C51:C56)</f>
        <v>10500</v>
      </c>
      <c r="D57" s="122">
        <f aca="true" t="shared" si="7" ref="D57:P57">SUM(D51:D56)</f>
        <v>4100</v>
      </c>
      <c r="E57" s="122">
        <f t="shared" si="7"/>
        <v>0</v>
      </c>
      <c r="F57" s="122">
        <f t="shared" si="7"/>
        <v>0</v>
      </c>
      <c r="G57" s="122">
        <f t="shared" si="7"/>
        <v>3300</v>
      </c>
      <c r="H57" s="122">
        <f t="shared" si="7"/>
        <v>0</v>
      </c>
      <c r="I57" s="122">
        <f t="shared" si="7"/>
        <v>0</v>
      </c>
      <c r="J57" s="122">
        <f t="shared" si="7"/>
        <v>0</v>
      </c>
      <c r="K57" s="122">
        <f t="shared" si="7"/>
        <v>0</v>
      </c>
      <c r="L57" s="122">
        <f t="shared" si="7"/>
        <v>0</v>
      </c>
      <c r="M57" s="122">
        <f t="shared" si="7"/>
        <v>0</v>
      </c>
      <c r="N57" s="122">
        <f t="shared" si="7"/>
        <v>0</v>
      </c>
      <c r="O57" s="122">
        <f t="shared" si="7"/>
        <v>0</v>
      </c>
      <c r="P57" s="122">
        <f t="shared" si="7"/>
        <v>0</v>
      </c>
      <c r="Q57" s="146">
        <f t="shared" si="6"/>
        <v>17900</v>
      </c>
      <c r="R57" s="3">
        <f t="shared" si="1"/>
        <v>17900</v>
      </c>
      <c r="V57" s="120" t="s">
        <v>120</v>
      </c>
      <c r="W57" s="145"/>
    </row>
    <row r="58" spans="1:23" ht="14.25">
      <c r="A58" s="134" t="s">
        <v>121</v>
      </c>
      <c r="B58" s="147"/>
      <c r="C58" s="148">
        <f>16100+18860+3500+21970+25780+3000+13700+26560+10500</f>
        <v>139970</v>
      </c>
      <c r="D58" s="148">
        <f>11800+5900+9400+5900+16600+4100+4100</f>
        <v>57800</v>
      </c>
      <c r="E58" s="148">
        <v>0</v>
      </c>
      <c r="F58" s="148">
        <f>29580+29700</f>
        <v>59280</v>
      </c>
      <c r="G58" s="148">
        <f>3400+3300</f>
        <v>6700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50">
        <f>SUM(C58:P58)</f>
        <v>263750</v>
      </c>
      <c r="R58" s="3">
        <f t="shared" si="1"/>
        <v>263750</v>
      </c>
      <c r="V58" s="134" t="s">
        <v>121</v>
      </c>
      <c r="W58" s="147"/>
    </row>
    <row r="59" spans="1:23" ht="14.25">
      <c r="A59" s="115" t="s">
        <v>9</v>
      </c>
      <c r="B59" s="151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52"/>
      <c r="R59" s="3">
        <f t="shared" si="1"/>
        <v>0</v>
      </c>
      <c r="V59" s="115" t="s">
        <v>9</v>
      </c>
      <c r="W59" s="151"/>
    </row>
    <row r="60" spans="1:23" s="372" customFormat="1" ht="14.25">
      <c r="A60" s="366"/>
      <c r="B60" s="367" t="s">
        <v>140</v>
      </c>
      <c r="C60" s="368">
        <v>10150</v>
      </c>
      <c r="D60" s="368">
        <v>0</v>
      </c>
      <c r="E60" s="368"/>
      <c r="F60" s="368"/>
      <c r="G60" s="368">
        <v>0</v>
      </c>
      <c r="H60" s="368">
        <v>18000</v>
      </c>
      <c r="I60" s="368">
        <v>37444.5</v>
      </c>
      <c r="J60" s="368"/>
      <c r="K60" s="122">
        <v>85758.4</v>
      </c>
      <c r="L60" s="368"/>
      <c r="M60" s="368"/>
      <c r="N60" s="368"/>
      <c r="O60" s="368"/>
      <c r="P60" s="368"/>
      <c r="Q60" s="369">
        <f>SUM(C60:P60)</f>
        <v>151352.9</v>
      </c>
      <c r="R60" s="370">
        <f t="shared" si="1"/>
        <v>151352.9</v>
      </c>
      <c r="S60" s="371"/>
      <c r="V60" s="366"/>
      <c r="W60" s="367" t="s">
        <v>140</v>
      </c>
    </row>
    <row r="61" spans="1:23" ht="14.25">
      <c r="A61" s="144"/>
      <c r="B61" s="153" t="s">
        <v>141</v>
      </c>
      <c r="C61" s="122">
        <v>6400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46">
        <f>SUM(C61:P61)</f>
        <v>6400</v>
      </c>
      <c r="R61" s="3">
        <f t="shared" si="1"/>
        <v>6400</v>
      </c>
      <c r="V61" s="144"/>
      <c r="W61" s="155" t="s">
        <v>141</v>
      </c>
    </row>
    <row r="62" spans="1:23" ht="14.25">
      <c r="A62" s="144"/>
      <c r="B62" s="153" t="s">
        <v>142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46">
        <f>SUM(C62:P62)</f>
        <v>0</v>
      </c>
      <c r="R62" s="3">
        <f t="shared" si="1"/>
        <v>0</v>
      </c>
      <c r="V62" s="144"/>
      <c r="W62" s="153" t="s">
        <v>142</v>
      </c>
    </row>
    <row r="63" spans="1:23" ht="14.25">
      <c r="A63" s="144"/>
      <c r="B63" s="145" t="s">
        <v>143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3"/>
      <c r="N63" s="122"/>
      <c r="O63" s="122"/>
      <c r="P63" s="122"/>
      <c r="Q63" s="146">
        <f>SUM(C63:P63)</f>
        <v>0</v>
      </c>
      <c r="R63" s="3">
        <f t="shared" si="1"/>
        <v>0</v>
      </c>
      <c r="V63" s="144"/>
      <c r="W63" s="153" t="s">
        <v>143</v>
      </c>
    </row>
    <row r="64" spans="1:23" ht="14.25">
      <c r="A64" s="144"/>
      <c r="B64" s="145" t="s">
        <v>144</v>
      </c>
      <c r="C64" s="122">
        <v>32109.5</v>
      </c>
      <c r="D64" s="122">
        <v>18800</v>
      </c>
      <c r="E64" s="122"/>
      <c r="F64" s="122"/>
      <c r="G64" s="122">
        <v>73320</v>
      </c>
      <c r="H64" s="122">
        <v>0</v>
      </c>
      <c r="I64" s="122">
        <v>7800</v>
      </c>
      <c r="J64" s="122"/>
      <c r="K64" s="122">
        <v>0</v>
      </c>
      <c r="L64" s="122">
        <v>71920</v>
      </c>
      <c r="M64" s="122"/>
      <c r="N64" s="122"/>
      <c r="O64" s="122"/>
      <c r="P64" s="122"/>
      <c r="Q64" s="146">
        <f>SUM(C64:P64)</f>
        <v>203949.5</v>
      </c>
      <c r="R64" s="3">
        <f t="shared" si="1"/>
        <v>203949.5</v>
      </c>
      <c r="V64" s="144"/>
      <c r="W64" s="145" t="s">
        <v>144</v>
      </c>
    </row>
    <row r="65" spans="1:23" ht="14.25">
      <c r="A65" s="120" t="s">
        <v>120</v>
      </c>
      <c r="B65" s="145"/>
      <c r="C65" s="122">
        <f aca="true" t="shared" si="8" ref="C65:P65">SUM(C60:C64)</f>
        <v>48659.5</v>
      </c>
      <c r="D65" s="122">
        <f>SUM(D60:D64)</f>
        <v>18800</v>
      </c>
      <c r="E65" s="122"/>
      <c r="F65" s="122">
        <f>SUM(F60:F64)</f>
        <v>0</v>
      </c>
      <c r="G65" s="122">
        <f t="shared" si="8"/>
        <v>73320</v>
      </c>
      <c r="H65" s="122">
        <f t="shared" si="8"/>
        <v>18000</v>
      </c>
      <c r="I65" s="122">
        <f>SUM(I60:I64)</f>
        <v>45244.5</v>
      </c>
      <c r="J65" s="122">
        <f t="shared" si="8"/>
        <v>0</v>
      </c>
      <c r="K65" s="122">
        <f t="shared" si="8"/>
        <v>85758.4</v>
      </c>
      <c r="L65" s="122">
        <f>SUM(L60:L64)</f>
        <v>71920</v>
      </c>
      <c r="M65" s="122">
        <f>SUM(M60:M64)</f>
        <v>0</v>
      </c>
      <c r="N65" s="122">
        <f>SUM(N60:N64)</f>
        <v>0</v>
      </c>
      <c r="O65" s="122">
        <f t="shared" si="8"/>
        <v>0</v>
      </c>
      <c r="P65" s="122">
        <f t="shared" si="8"/>
        <v>0</v>
      </c>
      <c r="Q65" s="146">
        <f>SUM(Q60:Q64)</f>
        <v>361702.4</v>
      </c>
      <c r="R65" s="3">
        <v>206858.5</v>
      </c>
      <c r="V65" s="120" t="s">
        <v>120</v>
      </c>
      <c r="W65" s="145"/>
    </row>
    <row r="66" spans="1:23" ht="14.25">
      <c r="A66" s="134" t="s">
        <v>121</v>
      </c>
      <c r="B66" s="147"/>
      <c r="C66" s="148">
        <f>77792+45015+164450+59459.25+87398+18090+231769.81+81973+48659.5</f>
        <v>814606.56</v>
      </c>
      <c r="D66" s="148">
        <f>17161+29000+22200+25400+23072+29500+19000+28060+18800</f>
        <v>212193</v>
      </c>
      <c r="E66" s="148">
        <f>0</f>
        <v>0</v>
      </c>
      <c r="F66" s="148">
        <f>5200+5550</f>
        <v>10750</v>
      </c>
      <c r="G66" s="148">
        <f>62160+138860+62160+79734+203238+175010+98060+134570+62160+73320</f>
        <v>1089272</v>
      </c>
      <c r="H66" s="148">
        <f>18000+18000+18000+18000+48000+15080+18000+18000+18000</f>
        <v>189080</v>
      </c>
      <c r="I66" s="148">
        <f>1444.5+22444.5+28644.5+22444.5+64000+23889+22444.5+22444.5+68268.5+45244.5</f>
        <v>321269</v>
      </c>
      <c r="J66" s="148">
        <v>0</v>
      </c>
      <c r="K66" s="148">
        <f>278887.84+761051.36+273802.48+306688.24+205102.8+878918.56+285438.16+298363.72+85758.4</f>
        <v>3374011.56</v>
      </c>
      <c r="L66" s="148">
        <f>30550+71920</f>
        <v>102470</v>
      </c>
      <c r="M66" s="148">
        <v>0</v>
      </c>
      <c r="N66" s="148">
        <f>699264+205280.4+26600+11150+42500</f>
        <v>984794.4</v>
      </c>
      <c r="O66" s="148">
        <v>0</v>
      </c>
      <c r="P66" s="148">
        <v>0</v>
      </c>
      <c r="Q66" s="150">
        <f>SUM(C66:P66)</f>
        <v>7098446.5200000005</v>
      </c>
      <c r="R66" s="3">
        <f t="shared" si="1"/>
        <v>7098446.5200000005</v>
      </c>
      <c r="V66" s="134" t="s">
        <v>121</v>
      </c>
      <c r="W66" s="147"/>
    </row>
    <row r="67" spans="1:23" ht="14.25">
      <c r="A67" s="115" t="s">
        <v>10</v>
      </c>
      <c r="B67" s="151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46">
        <f>SUM(C67:P67)</f>
        <v>0</v>
      </c>
      <c r="R67" s="3">
        <f t="shared" si="1"/>
        <v>0</v>
      </c>
      <c r="V67" s="115" t="s">
        <v>10</v>
      </c>
      <c r="W67" s="151"/>
    </row>
    <row r="68" spans="1:23" ht="14.25">
      <c r="A68" s="144"/>
      <c r="B68" s="145" t="s">
        <v>145</v>
      </c>
      <c r="C68" s="122">
        <v>816</v>
      </c>
      <c r="D68" s="122">
        <v>8795.9</v>
      </c>
      <c r="E68" s="122"/>
      <c r="F68" s="122"/>
      <c r="G68" s="122"/>
      <c r="H68" s="122"/>
      <c r="I68" s="122">
        <v>0</v>
      </c>
      <c r="J68" s="122"/>
      <c r="K68" s="122"/>
      <c r="L68" s="122"/>
      <c r="M68" s="122"/>
      <c r="N68" s="122"/>
      <c r="O68" s="122"/>
      <c r="P68" s="122"/>
      <c r="Q68" s="146">
        <f>SUM(C68:P68)</f>
        <v>9611.9</v>
      </c>
      <c r="R68" s="3">
        <f t="shared" si="1"/>
        <v>9611.9</v>
      </c>
      <c r="V68" s="144"/>
      <c r="W68" s="145" t="s">
        <v>145</v>
      </c>
    </row>
    <row r="69" spans="1:23" ht="14.25">
      <c r="A69" s="144"/>
      <c r="B69" s="145" t="s">
        <v>146</v>
      </c>
      <c r="C69" s="122">
        <v>0</v>
      </c>
      <c r="D69" s="122">
        <v>0</v>
      </c>
      <c r="E69" s="122"/>
      <c r="F69" s="122"/>
      <c r="G69" s="122"/>
      <c r="H69" s="122"/>
      <c r="I69" s="122">
        <v>0</v>
      </c>
      <c r="J69" s="122"/>
      <c r="K69" s="122"/>
      <c r="L69" s="122"/>
      <c r="M69" s="122"/>
      <c r="N69" s="122"/>
      <c r="O69" s="122"/>
      <c r="P69" s="122"/>
      <c r="Q69" s="146">
        <f aca="true" t="shared" si="9" ref="Q69:Q76">SUM(C69:P69)</f>
        <v>0</v>
      </c>
      <c r="R69" s="3">
        <f t="shared" si="1"/>
        <v>0</v>
      </c>
      <c r="V69" s="144"/>
      <c r="W69" s="145" t="s">
        <v>146</v>
      </c>
    </row>
    <row r="70" spans="1:23" ht="14.25">
      <c r="A70" s="144"/>
      <c r="B70" s="145" t="s">
        <v>304</v>
      </c>
      <c r="C70" s="122">
        <v>0</v>
      </c>
      <c r="D70" s="122">
        <v>0</v>
      </c>
      <c r="E70" s="122"/>
      <c r="F70" s="122"/>
      <c r="G70" s="122"/>
      <c r="H70" s="122"/>
      <c r="I70" s="122"/>
      <c r="J70" s="122">
        <v>0</v>
      </c>
      <c r="K70" s="122"/>
      <c r="L70" s="122"/>
      <c r="M70" s="122"/>
      <c r="N70" s="122"/>
      <c r="O70" s="122"/>
      <c r="P70" s="122"/>
      <c r="Q70" s="146">
        <f t="shared" si="9"/>
        <v>0</v>
      </c>
      <c r="R70" s="3">
        <f t="shared" si="1"/>
        <v>0</v>
      </c>
      <c r="V70" s="144"/>
      <c r="W70" s="145" t="s">
        <v>304</v>
      </c>
    </row>
    <row r="71" spans="1:23" ht="14.25">
      <c r="A71" s="144"/>
      <c r="B71" s="145" t="s">
        <v>147</v>
      </c>
      <c r="C71" s="122">
        <v>3630</v>
      </c>
      <c r="D71" s="122"/>
      <c r="E71" s="122"/>
      <c r="F71" s="122"/>
      <c r="G71" s="122"/>
      <c r="H71" s="122"/>
      <c r="I71" s="122"/>
      <c r="J71" s="122"/>
      <c r="K71" s="122">
        <v>6408.5</v>
      </c>
      <c r="L71" s="122"/>
      <c r="M71" s="122"/>
      <c r="N71" s="122"/>
      <c r="O71" s="122"/>
      <c r="P71" s="122"/>
      <c r="Q71" s="146">
        <f t="shared" si="9"/>
        <v>10038.5</v>
      </c>
      <c r="R71" s="3">
        <f t="shared" si="1"/>
        <v>10038.5</v>
      </c>
      <c r="V71" s="144"/>
      <c r="W71" s="145" t="s">
        <v>147</v>
      </c>
    </row>
    <row r="72" spans="1:23" ht="14.25">
      <c r="A72" s="144"/>
      <c r="B72" s="145" t="s">
        <v>148</v>
      </c>
      <c r="C72" s="122"/>
      <c r="D72" s="122"/>
      <c r="E72" s="122"/>
      <c r="F72" s="122"/>
      <c r="G72" s="122"/>
      <c r="H72" s="122"/>
      <c r="I72" s="122">
        <v>0</v>
      </c>
      <c r="J72" s="122"/>
      <c r="K72" s="122">
        <v>99000</v>
      </c>
      <c r="L72" s="122"/>
      <c r="M72" s="122"/>
      <c r="N72" s="122"/>
      <c r="O72" s="122"/>
      <c r="P72" s="122"/>
      <c r="Q72" s="146">
        <f>SUM(C72:P72)</f>
        <v>99000</v>
      </c>
      <c r="R72" s="3"/>
      <c r="V72" s="144"/>
      <c r="W72" s="145"/>
    </row>
    <row r="73" spans="1:23" ht="14.25">
      <c r="A73" s="144"/>
      <c r="B73" s="145" t="s">
        <v>306</v>
      </c>
      <c r="C73" s="122">
        <v>0</v>
      </c>
      <c r="D73" s="122">
        <v>0</v>
      </c>
      <c r="E73" s="122"/>
      <c r="F73" s="122"/>
      <c r="G73" s="122"/>
      <c r="H73" s="122"/>
      <c r="I73" s="122">
        <v>0</v>
      </c>
      <c r="J73" s="122">
        <v>0</v>
      </c>
      <c r="K73" s="122"/>
      <c r="L73" s="122"/>
      <c r="M73" s="122"/>
      <c r="N73" s="122"/>
      <c r="O73" s="122"/>
      <c r="P73" s="122"/>
      <c r="Q73" s="146">
        <f>SUM(C73:P73)</f>
        <v>0</v>
      </c>
      <c r="R73" s="3">
        <f t="shared" si="1"/>
        <v>0</v>
      </c>
      <c r="V73" s="144"/>
      <c r="W73" s="145" t="s">
        <v>148</v>
      </c>
    </row>
    <row r="74" spans="1:23" ht="14.25">
      <c r="A74" s="144"/>
      <c r="B74" s="145" t="s">
        <v>368</v>
      </c>
      <c r="C74" s="122">
        <v>0</v>
      </c>
      <c r="D74" s="122">
        <v>0</v>
      </c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46">
        <f>SUM(C74:P74)</f>
        <v>0</v>
      </c>
      <c r="R74" s="3">
        <f t="shared" si="1"/>
        <v>0</v>
      </c>
      <c r="V74" s="144"/>
      <c r="W74" s="145" t="s">
        <v>306</v>
      </c>
    </row>
    <row r="75" spans="1:23" ht="14.25">
      <c r="A75" s="144"/>
      <c r="B75" s="145" t="s">
        <v>150</v>
      </c>
      <c r="C75" s="122">
        <v>0</v>
      </c>
      <c r="D75" s="122">
        <v>0</v>
      </c>
      <c r="E75" s="122"/>
      <c r="F75" s="122"/>
      <c r="G75" s="122"/>
      <c r="H75" s="122"/>
      <c r="I75" s="122">
        <v>15600</v>
      </c>
      <c r="J75" s="122"/>
      <c r="K75" s="122"/>
      <c r="L75" s="122"/>
      <c r="M75" s="122"/>
      <c r="N75" s="122"/>
      <c r="O75" s="122"/>
      <c r="P75" s="122"/>
      <c r="Q75" s="146">
        <f t="shared" si="9"/>
        <v>15600</v>
      </c>
      <c r="R75" s="3">
        <f t="shared" si="1"/>
        <v>15600</v>
      </c>
      <c r="V75" s="144"/>
      <c r="W75" s="145" t="s">
        <v>150</v>
      </c>
    </row>
    <row r="76" spans="1:23" s="4" customFormat="1" ht="14.25">
      <c r="A76" s="144"/>
      <c r="B76" s="145" t="s">
        <v>209</v>
      </c>
      <c r="C76" s="122">
        <v>0</v>
      </c>
      <c r="D76" s="122">
        <v>0</v>
      </c>
      <c r="E76" s="122"/>
      <c r="F76" s="122"/>
      <c r="G76" s="122">
        <v>0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46">
        <f t="shared" si="9"/>
        <v>0</v>
      </c>
      <c r="R76" s="3">
        <f t="shared" si="1"/>
        <v>0</v>
      </c>
      <c r="S76" s="5"/>
      <c r="V76" s="144"/>
      <c r="W76" s="145" t="s">
        <v>209</v>
      </c>
    </row>
    <row r="77" spans="1:23" ht="14.25" customHeight="1">
      <c r="A77" s="120" t="s">
        <v>120</v>
      </c>
      <c r="B77" s="145"/>
      <c r="C77" s="122">
        <f>SUM(C67:C76)</f>
        <v>4446</v>
      </c>
      <c r="D77" s="122">
        <f>SUM(D67:D76)</f>
        <v>8795.9</v>
      </c>
      <c r="E77" s="122">
        <f aca="true" t="shared" si="10" ref="E77:P77">SUM(E68:E76)</f>
        <v>0</v>
      </c>
      <c r="F77" s="122">
        <f t="shared" si="10"/>
        <v>0</v>
      </c>
      <c r="G77" s="122">
        <f>SUM(G67:G76)</f>
        <v>0</v>
      </c>
      <c r="H77" s="122">
        <f t="shared" si="10"/>
        <v>0</v>
      </c>
      <c r="I77" s="122">
        <f>SUM(I68:I76)</f>
        <v>15600</v>
      </c>
      <c r="J77" s="122">
        <v>0</v>
      </c>
      <c r="K77" s="122">
        <f t="shared" si="10"/>
        <v>105408.5</v>
      </c>
      <c r="L77" s="122">
        <f t="shared" si="10"/>
        <v>0</v>
      </c>
      <c r="M77" s="122">
        <f t="shared" si="10"/>
        <v>0</v>
      </c>
      <c r="N77" s="122">
        <f t="shared" si="10"/>
        <v>0</v>
      </c>
      <c r="O77" s="122">
        <f t="shared" si="10"/>
        <v>0</v>
      </c>
      <c r="P77" s="122">
        <f t="shared" si="10"/>
        <v>0</v>
      </c>
      <c r="Q77" s="146">
        <f>SUM(Q67:Q76)</f>
        <v>134250.4</v>
      </c>
      <c r="R77" s="3">
        <f t="shared" si="1"/>
        <v>134250.4</v>
      </c>
      <c r="V77" s="120" t="s">
        <v>120</v>
      </c>
      <c r="W77" s="145"/>
    </row>
    <row r="78" spans="1:23" ht="15" customHeight="1">
      <c r="A78" s="134" t="s">
        <v>121</v>
      </c>
      <c r="B78" s="147"/>
      <c r="C78" s="148">
        <f>14017.66+109486.2+9933.6+32481.3+11809.5+60623.5+24135+72652+4446</f>
        <v>339584.76</v>
      </c>
      <c r="D78" s="148">
        <f>21719+31390+8795.9</f>
        <v>61904.9</v>
      </c>
      <c r="E78" s="148">
        <v>0</v>
      </c>
      <c r="F78" s="148">
        <v>0</v>
      </c>
      <c r="G78" s="148">
        <f>205723.7+229195.7</f>
        <v>434919.4</v>
      </c>
      <c r="H78" s="148">
        <v>0</v>
      </c>
      <c r="I78" s="148">
        <f>36500+2484.8+149774+2222.5+60760+25371+15600</f>
        <v>292712.3</v>
      </c>
      <c r="J78" s="148">
        <v>0</v>
      </c>
      <c r="K78" s="148">
        <f>8826.1+6736+6818.6+13766+2444+7009+9044+11273.5+105408.5</f>
        <v>171325.7</v>
      </c>
      <c r="L78" s="148">
        <v>0</v>
      </c>
      <c r="M78" s="148">
        <v>0</v>
      </c>
      <c r="N78" s="148">
        <v>0</v>
      </c>
      <c r="O78" s="148">
        <v>0</v>
      </c>
      <c r="P78" s="148">
        <v>0</v>
      </c>
      <c r="Q78" s="150">
        <f>SUM(C78:P78)</f>
        <v>1300447.06</v>
      </c>
      <c r="R78" s="3">
        <f t="shared" si="1"/>
        <v>1300447.06</v>
      </c>
      <c r="V78" s="134" t="s">
        <v>121</v>
      </c>
      <c r="W78" s="147"/>
    </row>
    <row r="79" spans="1:23" ht="17.25" customHeight="1">
      <c r="A79" s="160"/>
      <c r="B79" s="159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58" t="s">
        <v>262</v>
      </c>
      <c r="R79" s="3"/>
      <c r="V79" s="160"/>
      <c r="W79" s="159"/>
    </row>
    <row r="80" spans="1:23" ht="14.25">
      <c r="A80" s="465" t="s">
        <v>59</v>
      </c>
      <c r="B80" s="466"/>
      <c r="C80" s="471" t="s">
        <v>60</v>
      </c>
      <c r="D80" s="471"/>
      <c r="E80" s="471" t="s">
        <v>61</v>
      </c>
      <c r="F80" s="471"/>
      <c r="G80" s="113" t="s">
        <v>62</v>
      </c>
      <c r="H80" s="113" t="s">
        <v>63</v>
      </c>
      <c r="I80" s="471" t="s">
        <v>64</v>
      </c>
      <c r="J80" s="471"/>
      <c r="K80" s="471"/>
      <c r="L80" s="113" t="s">
        <v>65</v>
      </c>
      <c r="M80" s="471" t="s">
        <v>66</v>
      </c>
      <c r="N80" s="471"/>
      <c r="O80" s="113" t="s">
        <v>67</v>
      </c>
      <c r="P80" s="113" t="s">
        <v>69</v>
      </c>
      <c r="Q80" s="519" t="s">
        <v>17</v>
      </c>
      <c r="R80" s="3">
        <f aca="true" t="shared" si="11" ref="R80:R148">SUM(Q80)</f>
        <v>0</v>
      </c>
      <c r="V80" s="465" t="s">
        <v>59</v>
      </c>
      <c r="W80" s="466"/>
    </row>
    <row r="81" spans="1:23" s="4" customFormat="1" ht="14.25" customHeight="1">
      <c r="A81" s="467"/>
      <c r="B81" s="468"/>
      <c r="C81" s="462" t="s">
        <v>70</v>
      </c>
      <c r="D81" s="462"/>
      <c r="E81" s="475" t="s">
        <v>71</v>
      </c>
      <c r="F81" s="475"/>
      <c r="G81" s="475" t="s">
        <v>72</v>
      </c>
      <c r="H81" s="475" t="s">
        <v>73</v>
      </c>
      <c r="I81" s="462" t="s">
        <v>74</v>
      </c>
      <c r="J81" s="462"/>
      <c r="K81" s="462"/>
      <c r="L81" s="462" t="s">
        <v>289</v>
      </c>
      <c r="M81" s="475" t="s">
        <v>76</v>
      </c>
      <c r="N81" s="475"/>
      <c r="O81" s="462" t="s">
        <v>77</v>
      </c>
      <c r="P81" s="462" t="s">
        <v>79</v>
      </c>
      <c r="Q81" s="519"/>
      <c r="R81" s="3">
        <f t="shared" si="11"/>
        <v>0</v>
      </c>
      <c r="S81" s="5"/>
      <c r="V81" s="467"/>
      <c r="W81" s="468"/>
    </row>
    <row r="82" spans="1:23" s="6" customFormat="1" ht="14.25" customHeight="1">
      <c r="A82" s="467"/>
      <c r="B82" s="468"/>
      <c r="C82" s="462"/>
      <c r="D82" s="462"/>
      <c r="E82" s="475"/>
      <c r="F82" s="475"/>
      <c r="G82" s="475"/>
      <c r="H82" s="475"/>
      <c r="I82" s="462"/>
      <c r="J82" s="462"/>
      <c r="K82" s="462"/>
      <c r="L82" s="462"/>
      <c r="M82" s="475"/>
      <c r="N82" s="475"/>
      <c r="O82" s="462"/>
      <c r="P82" s="462"/>
      <c r="Q82" s="519"/>
      <c r="R82" s="3">
        <f t="shared" si="11"/>
        <v>0</v>
      </c>
      <c r="S82" s="5"/>
      <c r="V82" s="467"/>
      <c r="W82" s="468"/>
    </row>
    <row r="83" spans="1:23" s="6" customFormat="1" ht="14.25">
      <c r="A83" s="467"/>
      <c r="B83" s="468"/>
      <c r="C83" s="462"/>
      <c r="D83" s="462"/>
      <c r="E83" s="475"/>
      <c r="F83" s="475"/>
      <c r="G83" s="475"/>
      <c r="H83" s="475"/>
      <c r="I83" s="462"/>
      <c r="J83" s="462"/>
      <c r="K83" s="462"/>
      <c r="L83" s="462"/>
      <c r="M83" s="475"/>
      <c r="N83" s="475"/>
      <c r="O83" s="462"/>
      <c r="P83" s="462"/>
      <c r="Q83" s="519"/>
      <c r="R83" s="3">
        <f t="shared" si="11"/>
        <v>0</v>
      </c>
      <c r="S83" s="5"/>
      <c r="V83" s="467"/>
      <c r="W83" s="468"/>
    </row>
    <row r="84" spans="1:23" ht="14.25">
      <c r="A84" s="467"/>
      <c r="B84" s="468"/>
      <c r="C84" s="113" t="s">
        <v>80</v>
      </c>
      <c r="D84" s="113" t="s">
        <v>81</v>
      </c>
      <c r="E84" s="113" t="s">
        <v>82</v>
      </c>
      <c r="F84" s="113" t="s">
        <v>83</v>
      </c>
      <c r="G84" s="156"/>
      <c r="H84" s="113" t="s">
        <v>87</v>
      </c>
      <c r="I84" s="113" t="s">
        <v>88</v>
      </c>
      <c r="J84" s="113" t="s">
        <v>89</v>
      </c>
      <c r="K84" s="113" t="s">
        <v>90</v>
      </c>
      <c r="L84" s="113" t="s">
        <v>91</v>
      </c>
      <c r="M84" s="113" t="s">
        <v>93</v>
      </c>
      <c r="N84" s="113" t="s">
        <v>94</v>
      </c>
      <c r="O84" s="113" t="s">
        <v>95</v>
      </c>
      <c r="P84" s="113" t="s">
        <v>97</v>
      </c>
      <c r="Q84" s="519"/>
      <c r="R84" s="3">
        <f t="shared" si="11"/>
        <v>0</v>
      </c>
      <c r="V84" s="467"/>
      <c r="W84" s="468"/>
    </row>
    <row r="85" spans="1:23" ht="14.25" customHeight="1">
      <c r="A85" s="467"/>
      <c r="B85" s="468"/>
      <c r="C85" s="462" t="s">
        <v>98</v>
      </c>
      <c r="D85" s="462" t="s">
        <v>99</v>
      </c>
      <c r="E85" s="462" t="s">
        <v>100</v>
      </c>
      <c r="F85" s="462" t="s">
        <v>101</v>
      </c>
      <c r="G85" s="516" t="s">
        <v>103</v>
      </c>
      <c r="H85" s="462" t="s">
        <v>105</v>
      </c>
      <c r="I85" s="462" t="s">
        <v>106</v>
      </c>
      <c r="J85" s="462" t="s">
        <v>107</v>
      </c>
      <c r="K85" s="462" t="s">
        <v>108</v>
      </c>
      <c r="L85" s="462" t="s">
        <v>288</v>
      </c>
      <c r="M85" s="462" t="s">
        <v>111</v>
      </c>
      <c r="N85" s="462" t="s">
        <v>112</v>
      </c>
      <c r="O85" s="462" t="s">
        <v>113</v>
      </c>
      <c r="P85" s="462" t="s">
        <v>115</v>
      </c>
      <c r="Q85" s="519"/>
      <c r="R85" s="3">
        <f t="shared" si="11"/>
        <v>0</v>
      </c>
      <c r="V85" s="467"/>
      <c r="W85" s="468"/>
    </row>
    <row r="86" spans="1:23" ht="14.25">
      <c r="A86" s="467"/>
      <c r="B86" s="468"/>
      <c r="C86" s="462"/>
      <c r="D86" s="462"/>
      <c r="E86" s="462"/>
      <c r="F86" s="462"/>
      <c r="G86" s="521"/>
      <c r="H86" s="462"/>
      <c r="I86" s="462"/>
      <c r="J86" s="462"/>
      <c r="K86" s="462"/>
      <c r="L86" s="462"/>
      <c r="M86" s="462"/>
      <c r="N86" s="462"/>
      <c r="O86" s="462"/>
      <c r="P86" s="462"/>
      <c r="Q86" s="519"/>
      <c r="R86" s="3">
        <f t="shared" si="11"/>
        <v>0</v>
      </c>
      <c r="V86" s="467"/>
      <c r="W86" s="468"/>
    </row>
    <row r="87" spans="1:23" ht="14.25">
      <c r="A87" s="467"/>
      <c r="B87" s="468"/>
      <c r="C87" s="462"/>
      <c r="D87" s="462"/>
      <c r="E87" s="462"/>
      <c r="F87" s="462"/>
      <c r="G87" s="521"/>
      <c r="H87" s="462"/>
      <c r="I87" s="462"/>
      <c r="J87" s="462"/>
      <c r="K87" s="462"/>
      <c r="L87" s="462"/>
      <c r="M87" s="462"/>
      <c r="N87" s="462"/>
      <c r="O87" s="462"/>
      <c r="P87" s="462"/>
      <c r="Q87" s="519"/>
      <c r="R87" s="3">
        <f t="shared" si="11"/>
        <v>0</v>
      </c>
      <c r="V87" s="467"/>
      <c r="W87" s="468"/>
    </row>
    <row r="88" spans="1:23" ht="14.25">
      <c r="A88" s="469"/>
      <c r="B88" s="470"/>
      <c r="C88" s="462"/>
      <c r="D88" s="462"/>
      <c r="E88" s="462"/>
      <c r="F88" s="462"/>
      <c r="G88" s="522"/>
      <c r="H88" s="462"/>
      <c r="I88" s="462"/>
      <c r="J88" s="462"/>
      <c r="K88" s="462"/>
      <c r="L88" s="462"/>
      <c r="M88" s="462"/>
      <c r="N88" s="462"/>
      <c r="O88" s="462"/>
      <c r="P88" s="462"/>
      <c r="Q88" s="519"/>
      <c r="R88" s="3">
        <f t="shared" si="11"/>
        <v>0</v>
      </c>
      <c r="V88" s="469"/>
      <c r="W88" s="470"/>
    </row>
    <row r="89" spans="1:23" ht="14.25">
      <c r="A89" s="115" t="s">
        <v>425</v>
      </c>
      <c r="B89" s="151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52"/>
      <c r="R89" s="3">
        <f t="shared" si="11"/>
        <v>0</v>
      </c>
      <c r="V89" s="115" t="s">
        <v>11</v>
      </c>
      <c r="W89" s="151"/>
    </row>
    <row r="90" spans="1:23" ht="14.25">
      <c r="A90" s="144"/>
      <c r="B90" s="145" t="s">
        <v>152</v>
      </c>
      <c r="C90" s="122">
        <v>78857.82</v>
      </c>
      <c r="D90" s="122"/>
      <c r="E90" s="122"/>
      <c r="F90" s="122"/>
      <c r="G90" s="122"/>
      <c r="H90" s="122"/>
      <c r="I90" s="122"/>
      <c r="J90" s="122"/>
      <c r="K90" s="122">
        <v>12278.84</v>
      </c>
      <c r="L90" s="122"/>
      <c r="M90" s="122"/>
      <c r="N90" s="122"/>
      <c r="O90" s="122"/>
      <c r="P90" s="122"/>
      <c r="Q90" s="146">
        <f>SUM(C90:P90)</f>
        <v>91136.66</v>
      </c>
      <c r="R90" s="3">
        <f t="shared" si="11"/>
        <v>91136.66</v>
      </c>
      <c r="V90" s="144"/>
      <c r="W90" s="145" t="s">
        <v>152</v>
      </c>
    </row>
    <row r="91" spans="1:23" ht="14.25">
      <c r="A91" s="144"/>
      <c r="B91" s="145" t="s">
        <v>153</v>
      </c>
      <c r="C91" s="122">
        <v>0</v>
      </c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46">
        <f>SUM(C91:P91)</f>
        <v>0</v>
      </c>
      <c r="R91" s="3">
        <f t="shared" si="11"/>
        <v>0</v>
      </c>
      <c r="V91" s="144"/>
      <c r="W91" s="145" t="s">
        <v>153</v>
      </c>
    </row>
    <row r="92" spans="1:23" ht="14.25">
      <c r="A92" s="144"/>
      <c r="B92" s="145" t="s">
        <v>154</v>
      </c>
      <c r="C92" s="122">
        <v>694.43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46">
        <f>SUM(C92:P92)</f>
        <v>694.43</v>
      </c>
      <c r="R92" s="3">
        <f t="shared" si="11"/>
        <v>694.43</v>
      </c>
      <c r="V92" s="144"/>
      <c r="W92" s="145" t="s">
        <v>154</v>
      </c>
    </row>
    <row r="93" spans="1:23" ht="14.25">
      <c r="A93" s="144"/>
      <c r="B93" s="145" t="s">
        <v>155</v>
      </c>
      <c r="C93" s="122">
        <v>2604</v>
      </c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46">
        <f>SUM(C93:P93)</f>
        <v>2604</v>
      </c>
      <c r="R93" s="3">
        <f t="shared" si="11"/>
        <v>2604</v>
      </c>
      <c r="V93" s="144"/>
      <c r="W93" s="145" t="s">
        <v>155</v>
      </c>
    </row>
    <row r="94" spans="1:23" ht="14.25">
      <c r="A94" s="144"/>
      <c r="B94" s="145" t="s">
        <v>185</v>
      </c>
      <c r="C94" s="122">
        <v>5093.2</v>
      </c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46">
        <f>SUM(C94:P94)</f>
        <v>5093.2</v>
      </c>
      <c r="R94" s="3">
        <f t="shared" si="11"/>
        <v>5093.2</v>
      </c>
      <c r="V94" s="144"/>
      <c r="W94" s="145" t="s">
        <v>185</v>
      </c>
    </row>
    <row r="95" spans="1:23" ht="14.25">
      <c r="A95" s="120" t="s">
        <v>120</v>
      </c>
      <c r="B95" s="145"/>
      <c r="C95" s="122">
        <f>SUM(C90:C94)</f>
        <v>87249.45</v>
      </c>
      <c r="D95" s="122">
        <f aca="true" t="shared" si="12" ref="D95:P95">SUM(D90:D93)</f>
        <v>0</v>
      </c>
      <c r="E95" s="122">
        <f t="shared" si="12"/>
        <v>0</v>
      </c>
      <c r="F95" s="122">
        <f t="shared" si="12"/>
        <v>0</v>
      </c>
      <c r="G95" s="122">
        <f t="shared" si="12"/>
        <v>0</v>
      </c>
      <c r="H95" s="122">
        <f t="shared" si="12"/>
        <v>0</v>
      </c>
      <c r="I95" s="122">
        <f t="shared" si="12"/>
        <v>0</v>
      </c>
      <c r="J95" s="122">
        <f t="shared" si="12"/>
        <v>0</v>
      </c>
      <c r="K95" s="122">
        <f t="shared" si="12"/>
        <v>12278.84</v>
      </c>
      <c r="L95" s="122">
        <f t="shared" si="12"/>
        <v>0</v>
      </c>
      <c r="M95" s="122">
        <f t="shared" si="12"/>
        <v>0</v>
      </c>
      <c r="N95" s="122">
        <f t="shared" si="12"/>
        <v>0</v>
      </c>
      <c r="O95" s="122">
        <f t="shared" si="12"/>
        <v>0</v>
      </c>
      <c r="P95" s="122">
        <f t="shared" si="12"/>
        <v>0</v>
      </c>
      <c r="Q95" s="146">
        <f>SUM(Q90:Q94)</f>
        <v>99528.29</v>
      </c>
      <c r="R95" s="3">
        <f t="shared" si="11"/>
        <v>99528.29</v>
      </c>
      <c r="V95" s="120" t="s">
        <v>120</v>
      </c>
      <c r="W95" s="145"/>
    </row>
    <row r="96" spans="1:23" ht="14.25">
      <c r="A96" s="134" t="s">
        <v>121</v>
      </c>
      <c r="B96" s="147"/>
      <c r="C96" s="148">
        <f>75401.17+78211.06+78007.94+82618.67+87381.84+79381.36+94075.63+98575.54+97651.32+87249.45</f>
        <v>858553.98</v>
      </c>
      <c r="D96" s="148">
        <v>0</v>
      </c>
      <c r="E96" s="148">
        <v>0</v>
      </c>
      <c r="F96" s="148">
        <v>0</v>
      </c>
      <c r="G96" s="148">
        <v>0</v>
      </c>
      <c r="H96" s="148">
        <v>0</v>
      </c>
      <c r="I96" s="148">
        <v>0</v>
      </c>
      <c r="J96" s="148">
        <v>0</v>
      </c>
      <c r="K96" s="148">
        <f>13140.41+3774.96+3773.01+16758.88+9605.93+3557.41+14567.14+12338.29+12278.84</f>
        <v>89794.87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50">
        <f>SUM(C96:P96)</f>
        <v>948348.85</v>
      </c>
      <c r="R96" s="3">
        <f t="shared" si="11"/>
        <v>948348.85</v>
      </c>
      <c r="V96" s="134" t="s">
        <v>121</v>
      </c>
      <c r="W96" s="147"/>
    </row>
    <row r="97" spans="1:23" ht="14.25">
      <c r="A97" s="140" t="s">
        <v>12</v>
      </c>
      <c r="B97" s="141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3"/>
      <c r="R97" s="3">
        <f t="shared" si="11"/>
        <v>0</v>
      </c>
      <c r="V97" s="140" t="s">
        <v>12</v>
      </c>
      <c r="W97" s="141"/>
    </row>
    <row r="98" spans="1:23" ht="14.25" customHeight="1">
      <c r="A98" s="144"/>
      <c r="B98" s="145" t="s">
        <v>361</v>
      </c>
      <c r="C98" s="122">
        <v>0</v>
      </c>
      <c r="D98" s="122"/>
      <c r="E98" s="122"/>
      <c r="F98" s="122"/>
      <c r="G98" s="122">
        <v>84320</v>
      </c>
      <c r="H98" s="122"/>
      <c r="I98" s="122"/>
      <c r="J98" s="122"/>
      <c r="K98" s="122"/>
      <c r="L98" s="122"/>
      <c r="M98" s="122">
        <v>0</v>
      </c>
      <c r="N98" s="122">
        <v>0</v>
      </c>
      <c r="O98" s="122"/>
      <c r="P98" s="122"/>
      <c r="Q98" s="146">
        <f>SUM(C98:P98)</f>
        <v>84320</v>
      </c>
      <c r="R98" s="3">
        <f t="shared" si="11"/>
        <v>84320</v>
      </c>
      <c r="V98" s="144"/>
      <c r="W98" s="145" t="s">
        <v>307</v>
      </c>
    </row>
    <row r="99" spans="1:23" ht="14.25">
      <c r="A99" s="144"/>
      <c r="B99" s="145" t="s">
        <v>156</v>
      </c>
      <c r="C99" s="122">
        <v>0</v>
      </c>
      <c r="D99" s="122"/>
      <c r="E99" s="122"/>
      <c r="F99" s="122"/>
      <c r="G99" s="122"/>
      <c r="H99" s="122">
        <v>0</v>
      </c>
      <c r="I99" s="122"/>
      <c r="J99" s="122">
        <v>0</v>
      </c>
      <c r="K99" s="122"/>
      <c r="L99" s="122"/>
      <c r="M99" s="122"/>
      <c r="N99" s="122"/>
      <c r="O99" s="122"/>
      <c r="P99" s="122"/>
      <c r="Q99" s="146">
        <f>SUM(C99:P99)</f>
        <v>0</v>
      </c>
      <c r="R99" s="3">
        <f t="shared" si="11"/>
        <v>0</v>
      </c>
      <c r="V99" s="144"/>
      <c r="W99" s="145" t="s">
        <v>156</v>
      </c>
    </row>
    <row r="100" spans="1:23" ht="14.25">
      <c r="A100" s="144"/>
      <c r="B100" s="145" t="s">
        <v>157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46">
        <f>SUM(C100:P100)</f>
        <v>0</v>
      </c>
      <c r="R100" s="3">
        <f t="shared" si="11"/>
        <v>0</v>
      </c>
      <c r="V100" s="144"/>
      <c r="W100" s="145" t="s">
        <v>157</v>
      </c>
    </row>
    <row r="101" spans="1:23" ht="14.25">
      <c r="A101" s="120" t="s">
        <v>120</v>
      </c>
      <c r="B101" s="145"/>
      <c r="C101" s="122">
        <f>SUM(C98:C100)</f>
        <v>0</v>
      </c>
      <c r="D101" s="122">
        <f aca="true" t="shared" si="13" ref="D101:P101">SUM(D98:D100)</f>
        <v>0</v>
      </c>
      <c r="E101" s="122">
        <f t="shared" si="13"/>
        <v>0</v>
      </c>
      <c r="F101" s="122">
        <f t="shared" si="13"/>
        <v>0</v>
      </c>
      <c r="G101" s="122">
        <f t="shared" si="13"/>
        <v>84320</v>
      </c>
      <c r="H101" s="122">
        <f t="shared" si="13"/>
        <v>0</v>
      </c>
      <c r="I101" s="122">
        <f>SUM(I98:I100)</f>
        <v>0</v>
      </c>
      <c r="J101" s="122">
        <v>0</v>
      </c>
      <c r="K101" s="122">
        <f t="shared" si="13"/>
        <v>0</v>
      </c>
      <c r="L101" s="122">
        <f t="shared" si="13"/>
        <v>0</v>
      </c>
      <c r="M101" s="122">
        <f t="shared" si="13"/>
        <v>0</v>
      </c>
      <c r="N101" s="122">
        <f>SUM(N98:N100)</f>
        <v>0</v>
      </c>
      <c r="O101" s="122">
        <f t="shared" si="13"/>
        <v>0</v>
      </c>
      <c r="P101" s="122">
        <f t="shared" si="13"/>
        <v>0</v>
      </c>
      <c r="Q101" s="146">
        <f>SUM(C101:P101)</f>
        <v>84320</v>
      </c>
      <c r="R101" s="3">
        <f t="shared" si="11"/>
        <v>84320</v>
      </c>
      <c r="V101" s="120" t="s">
        <v>120</v>
      </c>
      <c r="W101" s="145"/>
    </row>
    <row r="102" spans="1:23" ht="14.25">
      <c r="A102" s="134" t="s">
        <v>121</v>
      </c>
      <c r="B102" s="147"/>
      <c r="C102" s="148">
        <v>0</v>
      </c>
      <c r="D102" s="148">
        <v>0</v>
      </c>
      <c r="E102" s="148">
        <v>0</v>
      </c>
      <c r="F102" s="148">
        <v>0</v>
      </c>
      <c r="G102" s="148">
        <f>450500+624620+364480+84320</f>
        <v>1523920</v>
      </c>
      <c r="H102" s="148">
        <v>0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48">
        <f>6000</f>
        <v>6000</v>
      </c>
      <c r="O102" s="148"/>
      <c r="P102" s="148"/>
      <c r="Q102" s="150">
        <f>SUM(C102:P102)</f>
        <v>1529920</v>
      </c>
      <c r="R102" s="3">
        <f t="shared" si="11"/>
        <v>1529920</v>
      </c>
      <c r="V102" s="134" t="s">
        <v>121</v>
      </c>
      <c r="W102" s="147"/>
    </row>
    <row r="103" spans="1:23" ht="14.25">
      <c r="A103" s="115" t="s">
        <v>13</v>
      </c>
      <c r="B103" s="151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52"/>
      <c r="R103" s="3">
        <f t="shared" si="11"/>
        <v>0</v>
      </c>
      <c r="V103" s="115" t="s">
        <v>13</v>
      </c>
      <c r="W103" s="151"/>
    </row>
    <row r="104" spans="1:23" ht="14.25">
      <c r="A104" s="144"/>
      <c r="B104" s="145" t="s">
        <v>305</v>
      </c>
      <c r="C104" s="122">
        <v>0</v>
      </c>
      <c r="D104" s="122"/>
      <c r="E104" s="122"/>
      <c r="F104" s="122"/>
      <c r="G104" s="122">
        <v>0</v>
      </c>
      <c r="H104" s="122"/>
      <c r="I104" s="122">
        <v>0</v>
      </c>
      <c r="J104" s="122"/>
      <c r="K104" s="122"/>
      <c r="L104" s="122"/>
      <c r="M104" s="122"/>
      <c r="N104" s="122"/>
      <c r="O104" s="122"/>
      <c r="P104" s="122"/>
      <c r="Q104" s="146">
        <f>SUM(C104:P104)</f>
        <v>0</v>
      </c>
      <c r="R104" s="3">
        <f t="shared" si="11"/>
        <v>0</v>
      </c>
      <c r="V104" s="144"/>
      <c r="W104" s="145" t="s">
        <v>305</v>
      </c>
    </row>
    <row r="105" spans="1:23" ht="14.25">
      <c r="A105" s="144"/>
      <c r="B105" s="145" t="s">
        <v>187</v>
      </c>
      <c r="C105" s="122">
        <v>0</v>
      </c>
      <c r="D105" s="122"/>
      <c r="E105" s="122"/>
      <c r="F105" s="122">
        <v>0</v>
      </c>
      <c r="G105" s="122">
        <v>0</v>
      </c>
      <c r="H105" s="122"/>
      <c r="I105" s="122">
        <v>0</v>
      </c>
      <c r="J105" s="122"/>
      <c r="K105" s="122"/>
      <c r="L105" s="122"/>
      <c r="M105" s="122"/>
      <c r="N105" s="122"/>
      <c r="O105" s="122"/>
      <c r="P105" s="122"/>
      <c r="Q105" s="146">
        <f aca="true" t="shared" si="14" ref="Q105:Q111">SUM(C105:P105)</f>
        <v>0</v>
      </c>
      <c r="R105" s="3">
        <f t="shared" si="11"/>
        <v>0</v>
      </c>
      <c r="V105" s="144"/>
      <c r="W105" s="145" t="s">
        <v>187</v>
      </c>
    </row>
    <row r="106" spans="1:23" ht="14.25">
      <c r="A106" s="144"/>
      <c r="B106" s="145" t="s">
        <v>422</v>
      </c>
      <c r="C106" s="122">
        <v>0</v>
      </c>
      <c r="D106" s="122"/>
      <c r="E106" s="122"/>
      <c r="F106" s="122"/>
      <c r="G106" s="122"/>
      <c r="H106" s="122"/>
      <c r="I106" s="122">
        <v>0</v>
      </c>
      <c r="J106" s="122"/>
      <c r="K106" s="122"/>
      <c r="L106" s="122"/>
      <c r="M106" s="122"/>
      <c r="N106" s="122"/>
      <c r="O106" s="122"/>
      <c r="P106" s="122"/>
      <c r="Q106" s="146">
        <f t="shared" si="14"/>
        <v>0</v>
      </c>
      <c r="R106" s="3">
        <f t="shared" si="11"/>
        <v>0</v>
      </c>
      <c r="V106" s="144"/>
      <c r="W106" s="145" t="s">
        <v>158</v>
      </c>
    </row>
    <row r="107" spans="1:23" ht="14.25">
      <c r="A107" s="144"/>
      <c r="B107" s="145" t="s">
        <v>159</v>
      </c>
      <c r="C107" s="122">
        <v>0</v>
      </c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46">
        <f t="shared" si="14"/>
        <v>0</v>
      </c>
      <c r="R107" s="3">
        <f t="shared" si="11"/>
        <v>0</v>
      </c>
      <c r="V107" s="144"/>
      <c r="W107" s="145" t="s">
        <v>159</v>
      </c>
    </row>
    <row r="108" spans="1:23" ht="14.25">
      <c r="A108" s="144"/>
      <c r="B108" s="145" t="s">
        <v>260</v>
      </c>
      <c r="C108" s="122">
        <v>0</v>
      </c>
      <c r="D108" s="122"/>
      <c r="E108" s="122"/>
      <c r="F108" s="122"/>
      <c r="G108" s="122"/>
      <c r="H108" s="122"/>
      <c r="I108" s="117">
        <v>0</v>
      </c>
      <c r="J108" s="122"/>
      <c r="K108" s="122">
        <v>58174</v>
      </c>
      <c r="L108" s="122"/>
      <c r="M108" s="122"/>
      <c r="N108" s="122"/>
      <c r="O108" s="122"/>
      <c r="P108" s="122"/>
      <c r="Q108" s="146">
        <f t="shared" si="14"/>
        <v>58174</v>
      </c>
      <c r="R108" s="3">
        <f t="shared" si="11"/>
        <v>58174</v>
      </c>
      <c r="V108" s="144"/>
      <c r="W108" s="145" t="s">
        <v>260</v>
      </c>
    </row>
    <row r="109" spans="1:23" ht="14.25">
      <c r="A109" s="120" t="s">
        <v>120</v>
      </c>
      <c r="B109" s="145"/>
      <c r="C109" s="122">
        <f aca="true" t="shared" si="15" ref="C109:P109">SUM(C104:C108)</f>
        <v>0</v>
      </c>
      <c r="D109" s="122">
        <f t="shared" si="15"/>
        <v>0</v>
      </c>
      <c r="E109" s="122">
        <f t="shared" si="15"/>
        <v>0</v>
      </c>
      <c r="F109" s="122">
        <f t="shared" si="15"/>
        <v>0</v>
      </c>
      <c r="G109" s="122">
        <f t="shared" si="15"/>
        <v>0</v>
      </c>
      <c r="H109" s="122">
        <f t="shared" si="15"/>
        <v>0</v>
      </c>
      <c r="I109" s="122">
        <f t="shared" si="15"/>
        <v>0</v>
      </c>
      <c r="J109" s="122">
        <f t="shared" si="15"/>
        <v>0</v>
      </c>
      <c r="K109" s="122">
        <f t="shared" si="15"/>
        <v>58174</v>
      </c>
      <c r="L109" s="122">
        <f t="shared" si="15"/>
        <v>0</v>
      </c>
      <c r="M109" s="122">
        <f t="shared" si="15"/>
        <v>0</v>
      </c>
      <c r="N109" s="122">
        <f t="shared" si="15"/>
        <v>0</v>
      </c>
      <c r="O109" s="122">
        <f t="shared" si="15"/>
        <v>0</v>
      </c>
      <c r="P109" s="122">
        <f t="shared" si="15"/>
        <v>0</v>
      </c>
      <c r="Q109" s="146">
        <f t="shared" si="14"/>
        <v>58174</v>
      </c>
      <c r="R109" s="3">
        <f t="shared" si="11"/>
        <v>58174</v>
      </c>
      <c r="V109" s="120" t="s">
        <v>120</v>
      </c>
      <c r="W109" s="145"/>
    </row>
    <row r="110" spans="1:23" ht="14.25">
      <c r="A110" s="134" t="s">
        <v>121</v>
      </c>
      <c r="B110" s="147"/>
      <c r="C110" s="148">
        <f>52000+5200+42337.33+35850+6131.1+2588.33</f>
        <v>144106.76</v>
      </c>
      <c r="D110" s="148">
        <v>0</v>
      </c>
      <c r="E110" s="148">
        <v>0</v>
      </c>
      <c r="F110" s="148">
        <f>96800</f>
        <v>96800</v>
      </c>
      <c r="G110" s="148">
        <f>16000+9000+35880</f>
        <v>60880</v>
      </c>
      <c r="H110" s="148">
        <v>0</v>
      </c>
      <c r="I110" s="148">
        <f>95150</f>
        <v>95150</v>
      </c>
      <c r="J110" s="148">
        <v>0</v>
      </c>
      <c r="K110" s="148">
        <f>40000+22700+18680+58174</f>
        <v>139554</v>
      </c>
      <c r="L110" s="148">
        <v>0</v>
      </c>
      <c r="M110" s="148">
        <v>0</v>
      </c>
      <c r="N110" s="148">
        <v>0</v>
      </c>
      <c r="O110" s="148">
        <v>0</v>
      </c>
      <c r="P110" s="148">
        <v>0</v>
      </c>
      <c r="Q110" s="150">
        <f t="shared" si="14"/>
        <v>536490.76</v>
      </c>
      <c r="R110" s="3">
        <f t="shared" si="11"/>
        <v>536490.76</v>
      </c>
      <c r="S110" s="2">
        <f>SUM(Q111-C111)</f>
        <v>0</v>
      </c>
      <c r="V110" s="134" t="s">
        <v>121</v>
      </c>
      <c r="W110" s="147"/>
    </row>
    <row r="111" spans="1:23" ht="13.5" customHeight="1">
      <c r="A111" s="140" t="s">
        <v>14</v>
      </c>
      <c r="B111" s="151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57">
        <f t="shared" si="14"/>
        <v>0</v>
      </c>
      <c r="R111" s="3">
        <f t="shared" si="11"/>
        <v>0</v>
      </c>
      <c r="S111" s="2">
        <v>487748.43</v>
      </c>
      <c r="V111" s="140" t="s">
        <v>14</v>
      </c>
      <c r="W111" s="151"/>
    </row>
    <row r="112" spans="1:23" ht="13.5" customHeight="1">
      <c r="A112" s="115"/>
      <c r="B112" s="151" t="s">
        <v>297</v>
      </c>
      <c r="C112" s="117"/>
      <c r="D112" s="117"/>
      <c r="E112" s="117"/>
      <c r="F112" s="117"/>
      <c r="G112" s="117"/>
      <c r="H112" s="117"/>
      <c r="I112" s="117"/>
      <c r="J112" s="117">
        <v>0</v>
      </c>
      <c r="K112" s="117"/>
      <c r="L112" s="117"/>
      <c r="M112" s="117"/>
      <c r="N112" s="117"/>
      <c r="O112" s="117"/>
      <c r="P112" s="117"/>
      <c r="Q112" s="146">
        <f>SUM(C112:P112)</f>
        <v>0</v>
      </c>
      <c r="R112" s="3"/>
      <c r="S112" s="2">
        <v>457048.43</v>
      </c>
      <c r="V112" s="115"/>
      <c r="W112" s="151" t="s">
        <v>297</v>
      </c>
    </row>
    <row r="113" spans="1:23" ht="12.75" customHeight="1">
      <c r="A113" s="115"/>
      <c r="B113" s="363" t="s">
        <v>311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46">
        <f>SUM(C113:P113)</f>
        <v>0</v>
      </c>
      <c r="R113" s="3"/>
      <c r="S113" s="2">
        <f>SUM(S111-S112)</f>
        <v>30700</v>
      </c>
      <c r="V113" s="115"/>
      <c r="W113" s="151" t="s">
        <v>311</v>
      </c>
    </row>
    <row r="114" spans="1:23" ht="12.75" customHeight="1">
      <c r="A114" s="208" t="s">
        <v>120</v>
      </c>
      <c r="B114" s="151"/>
      <c r="C114" s="122">
        <f>SUM(C111:C113)</f>
        <v>0</v>
      </c>
      <c r="D114" s="122">
        <f aca="true" t="shared" si="16" ref="D114:Q114">SUM(D111:D113)</f>
        <v>0</v>
      </c>
      <c r="E114" s="122">
        <f t="shared" si="16"/>
        <v>0</v>
      </c>
      <c r="F114" s="122">
        <f t="shared" si="16"/>
        <v>0</v>
      </c>
      <c r="G114" s="122">
        <f t="shared" si="16"/>
        <v>0</v>
      </c>
      <c r="H114" s="122">
        <f t="shared" si="16"/>
        <v>0</v>
      </c>
      <c r="I114" s="122">
        <f t="shared" si="16"/>
        <v>0</v>
      </c>
      <c r="J114" s="122">
        <f t="shared" si="16"/>
        <v>0</v>
      </c>
      <c r="K114" s="122">
        <f t="shared" si="16"/>
        <v>0</v>
      </c>
      <c r="L114" s="122">
        <f t="shared" si="16"/>
        <v>0</v>
      </c>
      <c r="M114" s="122">
        <f t="shared" si="16"/>
        <v>0</v>
      </c>
      <c r="N114" s="122">
        <f t="shared" si="16"/>
        <v>0</v>
      </c>
      <c r="O114" s="122">
        <f t="shared" si="16"/>
        <v>0</v>
      </c>
      <c r="P114" s="122">
        <f t="shared" si="16"/>
        <v>0</v>
      </c>
      <c r="Q114" s="123">
        <f t="shared" si="16"/>
        <v>0</v>
      </c>
      <c r="R114" s="3"/>
      <c r="V114" s="208" t="s">
        <v>120</v>
      </c>
      <c r="W114" s="151"/>
    </row>
    <row r="115" spans="1:23" ht="12.75" customHeight="1">
      <c r="A115" s="134" t="s">
        <v>121</v>
      </c>
      <c r="B115" s="300"/>
      <c r="C115" s="245">
        <v>0</v>
      </c>
      <c r="D115" s="148">
        <v>0</v>
      </c>
      <c r="E115" s="245">
        <v>0</v>
      </c>
      <c r="F115" s="245">
        <v>0</v>
      </c>
      <c r="G115" s="245">
        <v>0</v>
      </c>
      <c r="H115" s="245">
        <v>0</v>
      </c>
      <c r="I115" s="245">
        <v>0</v>
      </c>
      <c r="J115" s="148">
        <f>299000</f>
        <v>299000</v>
      </c>
      <c r="K115" s="245">
        <v>0</v>
      </c>
      <c r="L115" s="245">
        <v>0</v>
      </c>
      <c r="M115" s="148">
        <v>0</v>
      </c>
      <c r="N115" s="148">
        <v>0</v>
      </c>
      <c r="O115" s="245">
        <v>0</v>
      </c>
      <c r="P115" s="245">
        <v>0</v>
      </c>
      <c r="Q115" s="150">
        <f>SUM(C115:P115)</f>
        <v>299000</v>
      </c>
      <c r="R115" s="3"/>
      <c r="V115" s="120" t="s">
        <v>121</v>
      </c>
      <c r="W115" s="151"/>
    </row>
    <row r="116" spans="1:23" ht="13.5" customHeight="1">
      <c r="A116" s="247"/>
      <c r="B116" s="301"/>
      <c r="C116" s="246"/>
      <c r="D116" s="187"/>
      <c r="E116" s="246"/>
      <c r="F116" s="246"/>
      <c r="G116" s="246"/>
      <c r="H116" s="246"/>
      <c r="I116" s="246"/>
      <c r="J116" s="187"/>
      <c r="K116" s="246"/>
      <c r="L116" s="246"/>
      <c r="M116" s="187"/>
      <c r="N116" s="187"/>
      <c r="O116" s="246"/>
      <c r="P116" s="246"/>
      <c r="Q116" s="248"/>
      <c r="R116" s="3"/>
      <c r="V116" s="120"/>
      <c r="W116" s="151"/>
    </row>
    <row r="117" spans="1:23" ht="13.5" customHeight="1">
      <c r="A117" s="186"/>
      <c r="B117" s="302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249"/>
      <c r="R117" s="56"/>
      <c r="V117" s="134"/>
      <c r="W117" s="147"/>
    </row>
    <row r="118" spans="1:23" ht="14.25">
      <c r="A118" s="160"/>
      <c r="B118" s="159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9" t="s">
        <v>263</v>
      </c>
      <c r="R118" s="56"/>
      <c r="V118" s="160"/>
      <c r="W118" s="159"/>
    </row>
    <row r="119" spans="1:23" ht="14.25">
      <c r="A119" s="465" t="s">
        <v>59</v>
      </c>
      <c r="B119" s="466"/>
      <c r="C119" s="471" t="s">
        <v>60</v>
      </c>
      <c r="D119" s="471"/>
      <c r="E119" s="471" t="s">
        <v>61</v>
      </c>
      <c r="F119" s="471"/>
      <c r="G119" s="113" t="s">
        <v>62</v>
      </c>
      <c r="H119" s="113" t="s">
        <v>63</v>
      </c>
      <c r="I119" s="471" t="s">
        <v>64</v>
      </c>
      <c r="J119" s="471"/>
      <c r="K119" s="471"/>
      <c r="L119" s="113" t="s">
        <v>65</v>
      </c>
      <c r="M119" s="471" t="s">
        <v>66</v>
      </c>
      <c r="N119" s="471"/>
      <c r="O119" s="113" t="s">
        <v>67</v>
      </c>
      <c r="P119" s="113" t="s">
        <v>69</v>
      </c>
      <c r="Q119" s="519" t="s">
        <v>17</v>
      </c>
      <c r="R119" s="3">
        <f t="shared" si="11"/>
        <v>0</v>
      </c>
      <c r="V119" s="465" t="s">
        <v>59</v>
      </c>
      <c r="W119" s="466"/>
    </row>
    <row r="120" spans="1:23" s="4" customFormat="1" ht="14.25" customHeight="1">
      <c r="A120" s="467"/>
      <c r="B120" s="468"/>
      <c r="C120" s="462" t="s">
        <v>70</v>
      </c>
      <c r="D120" s="462"/>
      <c r="E120" s="475" t="s">
        <v>71</v>
      </c>
      <c r="F120" s="475"/>
      <c r="G120" s="475" t="s">
        <v>72</v>
      </c>
      <c r="H120" s="475" t="s">
        <v>73</v>
      </c>
      <c r="I120" s="462" t="s">
        <v>74</v>
      </c>
      <c r="J120" s="462"/>
      <c r="K120" s="462"/>
      <c r="L120" s="462" t="s">
        <v>289</v>
      </c>
      <c r="M120" s="475" t="s">
        <v>76</v>
      </c>
      <c r="N120" s="475"/>
      <c r="O120" s="462" t="s">
        <v>77</v>
      </c>
      <c r="P120" s="462" t="s">
        <v>79</v>
      </c>
      <c r="Q120" s="519"/>
      <c r="R120" s="3">
        <f t="shared" si="11"/>
        <v>0</v>
      </c>
      <c r="S120" s="5"/>
      <c r="V120" s="467"/>
      <c r="W120" s="468"/>
    </row>
    <row r="121" spans="1:23" s="6" customFormat="1" ht="14.25" customHeight="1">
      <c r="A121" s="467"/>
      <c r="B121" s="468"/>
      <c r="C121" s="462"/>
      <c r="D121" s="462"/>
      <c r="E121" s="475"/>
      <c r="F121" s="475"/>
      <c r="G121" s="475"/>
      <c r="H121" s="475"/>
      <c r="I121" s="462"/>
      <c r="J121" s="462"/>
      <c r="K121" s="462"/>
      <c r="L121" s="462"/>
      <c r="M121" s="475"/>
      <c r="N121" s="475"/>
      <c r="O121" s="462"/>
      <c r="P121" s="462"/>
      <c r="Q121" s="519"/>
      <c r="R121" s="3">
        <f t="shared" si="11"/>
        <v>0</v>
      </c>
      <c r="S121" s="5"/>
      <c r="V121" s="467"/>
      <c r="W121" s="468"/>
    </row>
    <row r="122" spans="1:23" s="6" customFormat="1" ht="14.25">
      <c r="A122" s="467"/>
      <c r="B122" s="468"/>
      <c r="C122" s="462"/>
      <c r="D122" s="462"/>
      <c r="E122" s="475"/>
      <c r="F122" s="475"/>
      <c r="G122" s="475"/>
      <c r="H122" s="475"/>
      <c r="I122" s="462"/>
      <c r="J122" s="462"/>
      <c r="K122" s="462"/>
      <c r="L122" s="462"/>
      <c r="M122" s="475"/>
      <c r="N122" s="475"/>
      <c r="O122" s="462"/>
      <c r="P122" s="462"/>
      <c r="Q122" s="519"/>
      <c r="R122" s="3">
        <f t="shared" si="11"/>
        <v>0</v>
      </c>
      <c r="S122" s="5"/>
      <c r="V122" s="467"/>
      <c r="W122" s="468"/>
    </row>
    <row r="123" spans="1:23" ht="14.25">
      <c r="A123" s="467"/>
      <c r="B123" s="468"/>
      <c r="C123" s="113" t="s">
        <v>80</v>
      </c>
      <c r="D123" s="113" t="s">
        <v>81</v>
      </c>
      <c r="E123" s="113" t="s">
        <v>82</v>
      </c>
      <c r="F123" s="113" t="s">
        <v>83</v>
      </c>
      <c r="G123" s="113" t="s">
        <v>85</v>
      </c>
      <c r="H123" s="113" t="s">
        <v>87</v>
      </c>
      <c r="I123" s="113" t="s">
        <v>88</v>
      </c>
      <c r="J123" s="113" t="s">
        <v>89</v>
      </c>
      <c r="K123" s="113" t="s">
        <v>90</v>
      </c>
      <c r="L123" s="113" t="s">
        <v>91</v>
      </c>
      <c r="M123" s="113" t="s">
        <v>93</v>
      </c>
      <c r="N123" s="113" t="s">
        <v>94</v>
      </c>
      <c r="O123" s="113" t="s">
        <v>95</v>
      </c>
      <c r="P123" s="113" t="s">
        <v>97</v>
      </c>
      <c r="Q123" s="519"/>
      <c r="R123" s="3">
        <f t="shared" si="11"/>
        <v>0</v>
      </c>
      <c r="V123" s="467"/>
      <c r="W123" s="468"/>
    </row>
    <row r="124" spans="1:23" ht="14.25" customHeight="1">
      <c r="A124" s="467"/>
      <c r="B124" s="468"/>
      <c r="C124" s="462" t="s">
        <v>98</v>
      </c>
      <c r="D124" s="462" t="s">
        <v>99</v>
      </c>
      <c r="E124" s="462" t="s">
        <v>100</v>
      </c>
      <c r="F124" s="462" t="s">
        <v>101</v>
      </c>
      <c r="G124" s="517" t="s">
        <v>103</v>
      </c>
      <c r="H124" s="462" t="s">
        <v>105</v>
      </c>
      <c r="I124" s="462" t="s">
        <v>106</v>
      </c>
      <c r="J124" s="462" t="s">
        <v>107</v>
      </c>
      <c r="K124" s="462" t="s">
        <v>108</v>
      </c>
      <c r="L124" s="462" t="s">
        <v>288</v>
      </c>
      <c r="M124" s="462" t="s">
        <v>111</v>
      </c>
      <c r="N124" s="462" t="s">
        <v>112</v>
      </c>
      <c r="O124" s="462" t="s">
        <v>113</v>
      </c>
      <c r="P124" s="462" t="s">
        <v>115</v>
      </c>
      <c r="Q124" s="519"/>
      <c r="R124" s="3">
        <f t="shared" si="11"/>
        <v>0</v>
      </c>
      <c r="V124" s="467"/>
      <c r="W124" s="468"/>
    </row>
    <row r="125" spans="1:23" ht="14.25">
      <c r="A125" s="467"/>
      <c r="B125" s="468"/>
      <c r="C125" s="462"/>
      <c r="D125" s="462"/>
      <c r="E125" s="462"/>
      <c r="F125" s="462"/>
      <c r="G125" s="517"/>
      <c r="H125" s="462"/>
      <c r="I125" s="462"/>
      <c r="J125" s="462"/>
      <c r="K125" s="462"/>
      <c r="L125" s="462"/>
      <c r="M125" s="462"/>
      <c r="N125" s="462"/>
      <c r="O125" s="462"/>
      <c r="P125" s="462"/>
      <c r="Q125" s="519"/>
      <c r="R125" s="3">
        <f t="shared" si="11"/>
        <v>0</v>
      </c>
      <c r="V125" s="467"/>
      <c r="W125" s="468"/>
    </row>
    <row r="126" spans="1:23" ht="14.25">
      <c r="A126" s="467"/>
      <c r="B126" s="468"/>
      <c r="C126" s="462"/>
      <c r="D126" s="462"/>
      <c r="E126" s="462"/>
      <c r="F126" s="462"/>
      <c r="G126" s="517"/>
      <c r="H126" s="462"/>
      <c r="I126" s="462"/>
      <c r="J126" s="462"/>
      <c r="K126" s="462"/>
      <c r="L126" s="462"/>
      <c r="M126" s="462"/>
      <c r="N126" s="462"/>
      <c r="O126" s="462"/>
      <c r="P126" s="462"/>
      <c r="Q126" s="519"/>
      <c r="R126" s="3">
        <f t="shared" si="11"/>
        <v>0</v>
      </c>
      <c r="V126" s="467"/>
      <c r="W126" s="468"/>
    </row>
    <row r="127" spans="1:23" ht="14.25">
      <c r="A127" s="467"/>
      <c r="B127" s="468"/>
      <c r="C127" s="516"/>
      <c r="D127" s="516"/>
      <c r="E127" s="516"/>
      <c r="F127" s="516"/>
      <c r="G127" s="518"/>
      <c r="H127" s="516"/>
      <c r="I127" s="516"/>
      <c r="J127" s="516"/>
      <c r="K127" s="516"/>
      <c r="L127" s="516"/>
      <c r="M127" s="516"/>
      <c r="N127" s="516"/>
      <c r="O127" s="516"/>
      <c r="P127" s="516"/>
      <c r="Q127" s="520"/>
      <c r="R127" s="3">
        <f t="shared" si="11"/>
        <v>0</v>
      </c>
      <c r="V127" s="467"/>
      <c r="W127" s="468"/>
    </row>
    <row r="128" spans="1:23" ht="14.25">
      <c r="A128" s="303" t="s">
        <v>312</v>
      </c>
      <c r="B128" s="304"/>
      <c r="C128" s="305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7"/>
      <c r="R128" s="3">
        <f t="shared" si="11"/>
        <v>0</v>
      </c>
      <c r="V128" s="303" t="s">
        <v>312</v>
      </c>
      <c r="W128" s="304"/>
    </row>
    <row r="129" spans="1:23" ht="14.25">
      <c r="A129" s="115" t="s">
        <v>9</v>
      </c>
      <c r="B129" s="308"/>
      <c r="C129" s="309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1">
        <f>SUM(C129:P129)</f>
        <v>0</v>
      </c>
      <c r="R129" s="3"/>
      <c r="V129" s="115" t="s">
        <v>9</v>
      </c>
      <c r="W129" s="308"/>
    </row>
    <row r="130" spans="1:23" ht="14.25">
      <c r="A130" s="120"/>
      <c r="B130" s="308" t="s">
        <v>140</v>
      </c>
      <c r="C130" s="309">
        <v>0</v>
      </c>
      <c r="D130" s="309"/>
      <c r="E130" s="310"/>
      <c r="F130" s="310"/>
      <c r="G130" s="309"/>
      <c r="H130" s="310"/>
      <c r="I130" s="309"/>
      <c r="J130" s="310"/>
      <c r="K130" s="309"/>
      <c r="L130" s="310"/>
      <c r="M130" s="310"/>
      <c r="N130" s="309"/>
      <c r="O130" s="310"/>
      <c r="P130" s="310"/>
      <c r="Q130" s="311">
        <f aca="true" t="shared" si="17" ref="Q130:Q142">SUM(C130:P130)</f>
        <v>0</v>
      </c>
      <c r="R130" s="3"/>
      <c r="V130" s="120"/>
      <c r="W130" s="308" t="s">
        <v>140</v>
      </c>
    </row>
    <row r="131" spans="1:23" ht="14.25">
      <c r="A131" s="120" t="s">
        <v>10</v>
      </c>
      <c r="B131" s="308"/>
      <c r="C131" s="309"/>
      <c r="D131" s="309"/>
      <c r="E131" s="310"/>
      <c r="F131" s="310"/>
      <c r="G131" s="309"/>
      <c r="H131" s="310"/>
      <c r="I131" s="309"/>
      <c r="J131" s="310"/>
      <c r="K131" s="309"/>
      <c r="L131" s="310"/>
      <c r="M131" s="310"/>
      <c r="N131" s="309"/>
      <c r="O131" s="310"/>
      <c r="P131" s="310"/>
      <c r="Q131" s="311">
        <f t="shared" si="17"/>
        <v>0</v>
      </c>
      <c r="R131" s="3"/>
      <c r="V131" s="120" t="s">
        <v>10</v>
      </c>
      <c r="W131" s="308"/>
    </row>
    <row r="132" spans="1:23" ht="14.25">
      <c r="A132" s="120"/>
      <c r="B132" s="308" t="s">
        <v>145</v>
      </c>
      <c r="C132" s="309"/>
      <c r="D132" s="309"/>
      <c r="E132" s="310"/>
      <c r="F132" s="310"/>
      <c r="G132" s="309"/>
      <c r="H132" s="310"/>
      <c r="I132" s="309"/>
      <c r="J132" s="310"/>
      <c r="K132" s="309"/>
      <c r="L132" s="310"/>
      <c r="M132" s="310"/>
      <c r="N132" s="309"/>
      <c r="O132" s="310"/>
      <c r="P132" s="310"/>
      <c r="Q132" s="311">
        <f>SUM(C132:P132)</f>
        <v>0</v>
      </c>
      <c r="R132" s="3"/>
      <c r="V132" s="120"/>
      <c r="W132" s="308" t="s">
        <v>145</v>
      </c>
    </row>
    <row r="133" spans="1:23" ht="14.25">
      <c r="A133" s="115"/>
      <c r="B133" s="308" t="s">
        <v>383</v>
      </c>
      <c r="C133" s="309"/>
      <c r="D133" s="309"/>
      <c r="E133" s="310"/>
      <c r="F133" s="310"/>
      <c r="G133" s="309">
        <v>0</v>
      </c>
      <c r="H133" s="310"/>
      <c r="I133" s="309"/>
      <c r="J133" s="310"/>
      <c r="K133" s="309"/>
      <c r="L133" s="310"/>
      <c r="M133" s="310"/>
      <c r="N133" s="309"/>
      <c r="O133" s="310"/>
      <c r="P133" s="310"/>
      <c r="Q133" s="311">
        <f>SUM(C133:P133)</f>
        <v>0</v>
      </c>
      <c r="R133" s="3"/>
      <c r="V133" s="115"/>
      <c r="W133" s="308"/>
    </row>
    <row r="134" spans="1:23" ht="14.25">
      <c r="A134" s="115"/>
      <c r="B134" s="308" t="s">
        <v>147</v>
      </c>
      <c r="C134" s="309"/>
      <c r="D134" s="309"/>
      <c r="E134" s="310"/>
      <c r="F134" s="310"/>
      <c r="G134" s="309"/>
      <c r="H134" s="310"/>
      <c r="I134" s="309"/>
      <c r="J134" s="310"/>
      <c r="K134" s="309"/>
      <c r="L134" s="310"/>
      <c r="M134" s="310"/>
      <c r="N134" s="309"/>
      <c r="O134" s="310"/>
      <c r="P134" s="310"/>
      <c r="Q134" s="311">
        <f t="shared" si="17"/>
        <v>0</v>
      </c>
      <c r="R134" s="3"/>
      <c r="V134" s="115"/>
      <c r="W134" s="308" t="s">
        <v>147</v>
      </c>
    </row>
    <row r="135" spans="1:23" ht="14.25">
      <c r="A135" s="120" t="s">
        <v>13</v>
      </c>
      <c r="B135" s="308"/>
      <c r="C135" s="309"/>
      <c r="D135" s="309"/>
      <c r="E135" s="310"/>
      <c r="F135" s="310"/>
      <c r="G135" s="309"/>
      <c r="H135" s="310"/>
      <c r="I135" s="309"/>
      <c r="J135" s="310"/>
      <c r="K135" s="309"/>
      <c r="L135" s="310"/>
      <c r="M135" s="310"/>
      <c r="N135" s="309"/>
      <c r="O135" s="310"/>
      <c r="P135" s="310"/>
      <c r="Q135" s="311">
        <f t="shared" si="17"/>
        <v>0</v>
      </c>
      <c r="R135" s="3"/>
      <c r="V135" s="120" t="s">
        <v>13</v>
      </c>
      <c r="W135" s="308"/>
    </row>
    <row r="136" spans="1:23" ht="14.25">
      <c r="A136" s="312"/>
      <c r="B136" s="308" t="s">
        <v>159</v>
      </c>
      <c r="C136" s="309"/>
      <c r="D136" s="309"/>
      <c r="E136" s="310"/>
      <c r="F136" s="310"/>
      <c r="G136" s="309"/>
      <c r="H136" s="310"/>
      <c r="I136" s="309"/>
      <c r="J136" s="310"/>
      <c r="K136" s="309"/>
      <c r="L136" s="310"/>
      <c r="M136" s="310"/>
      <c r="N136" s="309"/>
      <c r="O136" s="310"/>
      <c r="P136" s="310"/>
      <c r="Q136" s="311">
        <f t="shared" si="17"/>
        <v>0</v>
      </c>
      <c r="R136" s="3"/>
      <c r="V136" s="312"/>
      <c r="W136" s="308" t="s">
        <v>159</v>
      </c>
    </row>
    <row r="137" spans="1:23" ht="14.25">
      <c r="A137" s="208"/>
      <c r="B137" s="308" t="s">
        <v>305</v>
      </c>
      <c r="C137" s="309"/>
      <c r="D137" s="309"/>
      <c r="E137" s="310"/>
      <c r="F137" s="310"/>
      <c r="G137" s="309"/>
      <c r="H137" s="310"/>
      <c r="I137" s="309"/>
      <c r="J137" s="310"/>
      <c r="K137" s="309"/>
      <c r="L137" s="310"/>
      <c r="M137" s="310"/>
      <c r="N137" s="309"/>
      <c r="O137" s="310"/>
      <c r="P137" s="310"/>
      <c r="Q137" s="311">
        <f t="shared" si="17"/>
        <v>0</v>
      </c>
      <c r="R137" s="3"/>
      <c r="V137" s="208"/>
      <c r="W137" s="308" t="s">
        <v>305</v>
      </c>
    </row>
    <row r="138" spans="1:23" ht="14.25">
      <c r="A138" s="313" t="s">
        <v>120</v>
      </c>
      <c r="B138" s="308"/>
      <c r="C138" s="314">
        <f>SUM(C130:C136)</f>
        <v>0</v>
      </c>
      <c r="D138" s="315">
        <f>SUM(D130:D136)</f>
        <v>0</v>
      </c>
      <c r="E138" s="310"/>
      <c r="F138" s="310"/>
      <c r="G138" s="315">
        <f>SUM(G130:G136)</f>
        <v>0</v>
      </c>
      <c r="H138" s="310"/>
      <c r="I138" s="315">
        <f>SUM(I130:I136)</f>
        <v>0</v>
      </c>
      <c r="J138" s="310"/>
      <c r="K138" s="315">
        <f>SUM(K130:K136)</f>
        <v>0</v>
      </c>
      <c r="L138" s="310"/>
      <c r="M138" s="310"/>
      <c r="N138" s="315">
        <f>SUM(N130:N137)</f>
        <v>0</v>
      </c>
      <c r="O138" s="310"/>
      <c r="P138" s="310"/>
      <c r="Q138" s="311">
        <f t="shared" si="17"/>
        <v>0</v>
      </c>
      <c r="R138" s="3"/>
      <c r="V138" s="313" t="s">
        <v>120</v>
      </c>
      <c r="W138" s="308"/>
    </row>
    <row r="139" spans="1:23" ht="14.25">
      <c r="A139" s="316" t="s">
        <v>121</v>
      </c>
      <c r="B139" s="317"/>
      <c r="C139" s="318">
        <f>18600+7000</f>
        <v>25600</v>
      </c>
      <c r="D139" s="318">
        <v>0</v>
      </c>
      <c r="E139" s="318">
        <v>0</v>
      </c>
      <c r="F139" s="318">
        <v>0</v>
      </c>
      <c r="G139" s="318">
        <f>6329.96</f>
        <v>6329.96</v>
      </c>
      <c r="H139" s="296"/>
      <c r="I139" s="318">
        <f>21000</f>
        <v>21000</v>
      </c>
      <c r="J139" s="318">
        <v>0</v>
      </c>
      <c r="K139" s="318">
        <f>7000</f>
        <v>7000</v>
      </c>
      <c r="L139" s="318">
        <v>0</v>
      </c>
      <c r="M139" s="318">
        <v>0</v>
      </c>
      <c r="N139" s="318">
        <v>0</v>
      </c>
      <c r="O139" s="318">
        <v>0</v>
      </c>
      <c r="P139" s="318">
        <v>0</v>
      </c>
      <c r="Q139" s="319">
        <f t="shared" si="17"/>
        <v>59929.96</v>
      </c>
      <c r="R139" s="3">
        <f>59929.96+6434818</f>
        <v>6494747.96</v>
      </c>
      <c r="V139" s="316" t="s">
        <v>121</v>
      </c>
      <c r="W139" s="317"/>
    </row>
    <row r="140" spans="1:23" ht="14.25">
      <c r="A140" s="312" t="s">
        <v>313</v>
      </c>
      <c r="B140" s="308"/>
      <c r="C140" s="309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0"/>
      <c r="P140" s="310"/>
      <c r="Q140" s="152">
        <f t="shared" si="17"/>
        <v>0</v>
      </c>
      <c r="R140" s="3"/>
      <c r="V140" s="312" t="s">
        <v>313</v>
      </c>
      <c r="W140" s="308"/>
    </row>
    <row r="141" spans="1:23" ht="14.25">
      <c r="A141" s="320" t="s">
        <v>14</v>
      </c>
      <c r="B141" s="308"/>
      <c r="C141" s="309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0"/>
      <c r="O141" s="310"/>
      <c r="P141" s="310"/>
      <c r="Q141" s="146">
        <f t="shared" si="17"/>
        <v>0</v>
      </c>
      <c r="R141" s="3"/>
      <c r="V141" s="320" t="s">
        <v>14</v>
      </c>
      <c r="W141" s="308"/>
    </row>
    <row r="142" spans="1:23" ht="14.25">
      <c r="A142" s="321"/>
      <c r="B142" s="254" t="s">
        <v>297</v>
      </c>
      <c r="C142" s="309"/>
      <c r="D142" s="310"/>
      <c r="E142" s="310"/>
      <c r="F142" s="310"/>
      <c r="G142" s="310"/>
      <c r="H142" s="310"/>
      <c r="I142" s="310"/>
      <c r="J142" s="309">
        <v>0</v>
      </c>
      <c r="K142" s="310"/>
      <c r="L142" s="310"/>
      <c r="M142" s="310"/>
      <c r="N142" s="310"/>
      <c r="O142" s="310"/>
      <c r="P142" s="310"/>
      <c r="Q142" s="146">
        <f t="shared" si="17"/>
        <v>0</v>
      </c>
      <c r="R142" s="3"/>
      <c r="V142" s="321"/>
      <c r="W142" s="308" t="s">
        <v>297</v>
      </c>
    </row>
    <row r="143" spans="1:23" ht="14.25">
      <c r="A143" s="322" t="s">
        <v>120</v>
      </c>
      <c r="B143" s="145"/>
      <c r="C143" s="314">
        <v>0</v>
      </c>
      <c r="D143" s="314">
        <v>0</v>
      </c>
      <c r="E143" s="314">
        <f>SUM(E128:E142)</f>
        <v>0</v>
      </c>
      <c r="F143" s="314">
        <f>SUM(F128:F142)</f>
        <v>0</v>
      </c>
      <c r="G143" s="314">
        <v>0</v>
      </c>
      <c r="H143" s="314">
        <f aca="true" t="shared" si="18" ref="H143:P143">SUM(H128:H142)</f>
        <v>0</v>
      </c>
      <c r="I143" s="314">
        <v>0</v>
      </c>
      <c r="J143" s="315">
        <f>SUM(J142:J142)</f>
        <v>0</v>
      </c>
      <c r="K143" s="314">
        <v>0</v>
      </c>
      <c r="L143" s="314">
        <f t="shared" si="18"/>
        <v>0</v>
      </c>
      <c r="M143" s="314">
        <f t="shared" si="18"/>
        <v>0</v>
      </c>
      <c r="N143" s="314">
        <v>0</v>
      </c>
      <c r="O143" s="314">
        <f t="shared" si="18"/>
        <v>0</v>
      </c>
      <c r="P143" s="314">
        <f t="shared" si="18"/>
        <v>0</v>
      </c>
      <c r="Q143" s="146">
        <f aca="true" t="shared" si="19" ref="Q143:Q148">SUM(C143:P143)</f>
        <v>0</v>
      </c>
      <c r="R143" s="3">
        <f t="shared" si="11"/>
        <v>0</v>
      </c>
      <c r="V143" s="322" t="s">
        <v>120</v>
      </c>
      <c r="W143" s="145"/>
    </row>
    <row r="144" spans="1:23" ht="14.25">
      <c r="A144" s="323" t="s">
        <v>121</v>
      </c>
      <c r="B144" s="147"/>
      <c r="C144" s="324">
        <v>0</v>
      </c>
      <c r="D144" s="324">
        <v>0</v>
      </c>
      <c r="E144" s="324">
        <f aca="true" t="shared" si="20" ref="E144:P144">SUM(E143)</f>
        <v>0</v>
      </c>
      <c r="F144" s="324">
        <f t="shared" si="20"/>
        <v>0</v>
      </c>
      <c r="G144" s="324">
        <v>0</v>
      </c>
      <c r="H144" s="324">
        <f t="shared" si="20"/>
        <v>0</v>
      </c>
      <c r="I144" s="324">
        <v>0</v>
      </c>
      <c r="J144" s="324">
        <f>495000+2250626+2293192+400000+996000</f>
        <v>6434818</v>
      </c>
      <c r="K144" s="324">
        <v>0</v>
      </c>
      <c r="L144" s="324">
        <f t="shared" si="20"/>
        <v>0</v>
      </c>
      <c r="M144" s="324">
        <f t="shared" si="20"/>
        <v>0</v>
      </c>
      <c r="N144" s="324">
        <v>0</v>
      </c>
      <c r="O144" s="324">
        <f t="shared" si="20"/>
        <v>0</v>
      </c>
      <c r="P144" s="324">
        <f t="shared" si="20"/>
        <v>0</v>
      </c>
      <c r="Q144" s="319">
        <f t="shared" si="19"/>
        <v>6434818</v>
      </c>
      <c r="R144" s="3">
        <f>SUM(Q144)</f>
        <v>6434818</v>
      </c>
      <c r="V144" s="323" t="s">
        <v>121</v>
      </c>
      <c r="W144" s="147"/>
    </row>
    <row r="145" spans="1:23" ht="13.5" customHeight="1">
      <c r="A145" s="115" t="s">
        <v>213</v>
      </c>
      <c r="B145" s="151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8"/>
      <c r="Q145" s="325">
        <f t="shared" si="19"/>
        <v>0</v>
      </c>
      <c r="R145" s="3">
        <f t="shared" si="11"/>
        <v>0</v>
      </c>
      <c r="V145" s="115" t="s">
        <v>213</v>
      </c>
      <c r="W145" s="151"/>
    </row>
    <row r="146" spans="1:23" ht="14.25">
      <c r="A146" s="120"/>
      <c r="B146" s="145" t="s">
        <v>395</v>
      </c>
      <c r="C146" s="122"/>
      <c r="D146" s="122"/>
      <c r="E146" s="122"/>
      <c r="F146" s="122"/>
      <c r="G146" s="122">
        <v>0</v>
      </c>
      <c r="H146" s="122"/>
      <c r="I146" s="122"/>
      <c r="J146" s="122">
        <v>0</v>
      </c>
      <c r="K146" s="122"/>
      <c r="L146" s="122"/>
      <c r="M146" s="122"/>
      <c r="N146" s="122"/>
      <c r="O146" s="122"/>
      <c r="P146" s="123"/>
      <c r="Q146" s="157">
        <f t="shared" si="19"/>
        <v>0</v>
      </c>
      <c r="R146" s="3">
        <f t="shared" si="11"/>
        <v>0</v>
      </c>
      <c r="S146" s="2">
        <v>1578486.41</v>
      </c>
      <c r="V146" s="120"/>
      <c r="W146" s="145" t="s">
        <v>297</v>
      </c>
    </row>
    <row r="147" spans="1:23" ht="14.25">
      <c r="A147" s="120" t="s">
        <v>120</v>
      </c>
      <c r="B147" s="145"/>
      <c r="C147" s="119">
        <f>SUM(C145:C146)</f>
        <v>0</v>
      </c>
      <c r="D147" s="119">
        <f>SUM(D145:D146)</f>
        <v>0</v>
      </c>
      <c r="E147" s="119">
        <f>SUM(E145:E146)</f>
        <v>0</v>
      </c>
      <c r="F147" s="119">
        <f>SUM(F145:F146)</f>
        <v>0</v>
      </c>
      <c r="G147" s="119">
        <v>0</v>
      </c>
      <c r="H147" s="119">
        <f>SUM(H145:H146)</f>
        <v>0</v>
      </c>
      <c r="I147" s="119"/>
      <c r="J147" s="119">
        <v>0</v>
      </c>
      <c r="K147" s="119">
        <f aca="true" t="shared" si="21" ref="K147:P147">SUM(K145:K146)</f>
        <v>0</v>
      </c>
      <c r="L147" s="119">
        <f t="shared" si="21"/>
        <v>0</v>
      </c>
      <c r="M147" s="119">
        <f t="shared" si="21"/>
        <v>0</v>
      </c>
      <c r="N147" s="119">
        <f t="shared" si="21"/>
        <v>0</v>
      </c>
      <c r="O147" s="119">
        <f t="shared" si="21"/>
        <v>0</v>
      </c>
      <c r="P147" s="133">
        <f t="shared" si="21"/>
        <v>0</v>
      </c>
      <c r="Q147" s="157">
        <f t="shared" si="19"/>
        <v>0</v>
      </c>
      <c r="R147" s="3">
        <f t="shared" si="11"/>
        <v>0</v>
      </c>
      <c r="S147" s="2">
        <f>8300+8300+8300</f>
        <v>24900</v>
      </c>
      <c r="V147" s="120" t="s">
        <v>120</v>
      </c>
      <c r="W147" s="145"/>
    </row>
    <row r="148" spans="1:23" ht="14.25">
      <c r="A148" s="134" t="s">
        <v>121</v>
      </c>
      <c r="B148" s="147"/>
      <c r="C148" s="129">
        <v>0</v>
      </c>
      <c r="D148" s="129">
        <v>0</v>
      </c>
      <c r="E148" s="129">
        <v>0</v>
      </c>
      <c r="F148" s="129">
        <v>0</v>
      </c>
      <c r="G148" s="129">
        <f>30700</f>
        <v>30700</v>
      </c>
      <c r="H148" s="129">
        <v>0</v>
      </c>
      <c r="I148" s="129">
        <v>0</v>
      </c>
      <c r="J148" s="129">
        <v>0</v>
      </c>
      <c r="K148" s="129">
        <v>0</v>
      </c>
      <c r="L148" s="129">
        <v>0</v>
      </c>
      <c r="M148" s="129">
        <v>0</v>
      </c>
      <c r="N148" s="129">
        <v>0</v>
      </c>
      <c r="O148" s="129">
        <v>0</v>
      </c>
      <c r="P148" s="129">
        <v>0</v>
      </c>
      <c r="Q148" s="333">
        <f t="shared" si="19"/>
        <v>30700</v>
      </c>
      <c r="R148" s="3">
        <f t="shared" si="11"/>
        <v>30700</v>
      </c>
      <c r="V148" s="134" t="s">
        <v>121</v>
      </c>
      <c r="W148" s="147"/>
    </row>
    <row r="149" spans="1:23" s="350" customFormat="1" ht="14.25" customHeight="1">
      <c r="A149" s="326"/>
      <c r="B149" s="327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9"/>
      <c r="N149" s="328"/>
      <c r="O149" s="328"/>
      <c r="P149" s="328"/>
      <c r="Q149" s="330"/>
      <c r="R149" s="331"/>
      <c r="S149" s="349"/>
      <c r="V149" s="326"/>
      <c r="W149" s="327"/>
    </row>
    <row r="150" spans="1:23" ht="14.25">
      <c r="A150" s="127"/>
      <c r="B150" s="332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36"/>
      <c r="N150" s="129"/>
      <c r="O150" s="129"/>
      <c r="P150" s="129"/>
      <c r="Q150" s="333"/>
      <c r="R150" s="3"/>
      <c r="S150" s="1"/>
      <c r="V150" s="127"/>
      <c r="W150" s="332"/>
    </row>
    <row r="151" spans="18:20" ht="14.25">
      <c r="R151" s="334" t="s">
        <v>384</v>
      </c>
      <c r="S151" s="5" t="s">
        <v>385</v>
      </c>
      <c r="T151" s="6" t="s">
        <v>309</v>
      </c>
    </row>
    <row r="152" spans="3:21" ht="15" customHeight="1">
      <c r="C152" s="461"/>
      <c r="D152" s="461"/>
      <c r="E152" s="461"/>
      <c r="H152" s="461"/>
      <c r="I152" s="461"/>
      <c r="J152" s="461"/>
      <c r="N152" s="461"/>
      <c r="O152" s="461"/>
      <c r="P152" s="461"/>
      <c r="R152" s="2"/>
      <c r="U152" s="331"/>
    </row>
    <row r="153" spans="3:16" ht="14.25">
      <c r="C153" s="461"/>
      <c r="D153" s="461"/>
      <c r="E153" s="461"/>
      <c r="H153" s="461"/>
      <c r="I153" s="461"/>
      <c r="J153" s="461"/>
      <c r="N153" s="461"/>
      <c r="O153" s="461"/>
      <c r="P153" s="461"/>
    </row>
    <row r="154" spans="3:16" ht="14.25">
      <c r="C154" s="6"/>
      <c r="D154" s="6"/>
      <c r="E154" s="6"/>
      <c r="H154" s="6"/>
      <c r="I154" s="6"/>
      <c r="J154" s="6"/>
      <c r="N154" s="6"/>
      <c r="O154" s="6"/>
      <c r="P154" s="6"/>
    </row>
    <row r="155" spans="3:16" ht="14.25">
      <c r="C155" s="461"/>
      <c r="D155" s="461"/>
      <c r="E155" s="461"/>
      <c r="H155" s="461"/>
      <c r="I155" s="461"/>
      <c r="J155" s="461"/>
      <c r="N155" s="461"/>
      <c r="O155" s="461"/>
      <c r="P155" s="461"/>
    </row>
    <row r="156" spans="3:5" ht="14.25">
      <c r="C156" s="461"/>
      <c r="D156" s="461"/>
      <c r="E156" s="461"/>
    </row>
    <row r="157" spans="1:17" ht="14.25">
      <c r="A157" s="160"/>
      <c r="B157" s="159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9" t="s">
        <v>401</v>
      </c>
    </row>
    <row r="158" spans="1:17" ht="14.25">
      <c r="A158" s="465" t="s">
        <v>59</v>
      </c>
      <c r="B158" s="466"/>
      <c r="C158" s="471" t="s">
        <v>60</v>
      </c>
      <c r="D158" s="471"/>
      <c r="E158" s="471" t="s">
        <v>61</v>
      </c>
      <c r="F158" s="471"/>
      <c r="G158" s="113" t="s">
        <v>62</v>
      </c>
      <c r="H158" s="113" t="s">
        <v>63</v>
      </c>
      <c r="I158" s="471" t="s">
        <v>64</v>
      </c>
      <c r="J158" s="471"/>
      <c r="K158" s="471"/>
      <c r="L158" s="113" t="s">
        <v>65</v>
      </c>
      <c r="M158" s="471" t="s">
        <v>66</v>
      </c>
      <c r="N158" s="471"/>
      <c r="O158" s="113" t="s">
        <v>67</v>
      </c>
      <c r="P158" s="113" t="s">
        <v>69</v>
      </c>
      <c r="Q158" s="519" t="s">
        <v>17</v>
      </c>
    </row>
    <row r="159" spans="1:17" ht="14.25">
      <c r="A159" s="467"/>
      <c r="B159" s="468"/>
      <c r="C159" s="462" t="s">
        <v>70</v>
      </c>
      <c r="D159" s="462"/>
      <c r="E159" s="475" t="s">
        <v>71</v>
      </c>
      <c r="F159" s="475"/>
      <c r="G159" s="475" t="s">
        <v>72</v>
      </c>
      <c r="H159" s="475" t="s">
        <v>73</v>
      </c>
      <c r="I159" s="462" t="s">
        <v>74</v>
      </c>
      <c r="J159" s="462"/>
      <c r="K159" s="462"/>
      <c r="L159" s="462" t="s">
        <v>289</v>
      </c>
      <c r="M159" s="475" t="s">
        <v>76</v>
      </c>
      <c r="N159" s="475"/>
      <c r="O159" s="462" t="s">
        <v>77</v>
      </c>
      <c r="P159" s="462" t="s">
        <v>79</v>
      </c>
      <c r="Q159" s="519"/>
    </row>
    <row r="160" spans="1:17" ht="14.25">
      <c r="A160" s="467"/>
      <c r="B160" s="468"/>
      <c r="C160" s="462"/>
      <c r="D160" s="462"/>
      <c r="E160" s="475"/>
      <c r="F160" s="475"/>
      <c r="G160" s="475"/>
      <c r="H160" s="475"/>
      <c r="I160" s="462"/>
      <c r="J160" s="462"/>
      <c r="K160" s="462"/>
      <c r="L160" s="462"/>
      <c r="M160" s="475"/>
      <c r="N160" s="475"/>
      <c r="O160" s="462"/>
      <c r="P160" s="462"/>
      <c r="Q160" s="519"/>
    </row>
    <row r="161" spans="1:17" ht="14.25">
      <c r="A161" s="467"/>
      <c r="B161" s="468"/>
      <c r="C161" s="462"/>
      <c r="D161" s="462"/>
      <c r="E161" s="475"/>
      <c r="F161" s="475"/>
      <c r="G161" s="475"/>
      <c r="H161" s="475"/>
      <c r="I161" s="462"/>
      <c r="J161" s="462"/>
      <c r="K161" s="462"/>
      <c r="L161" s="462"/>
      <c r="M161" s="475"/>
      <c r="N161" s="475"/>
      <c r="O161" s="462"/>
      <c r="P161" s="462"/>
      <c r="Q161" s="519"/>
    </row>
    <row r="162" spans="1:17" ht="14.25">
      <c r="A162" s="467"/>
      <c r="B162" s="468"/>
      <c r="C162" s="113" t="s">
        <v>80</v>
      </c>
      <c r="D162" s="113" t="s">
        <v>81</v>
      </c>
      <c r="E162" s="113" t="s">
        <v>82</v>
      </c>
      <c r="F162" s="113" t="s">
        <v>83</v>
      </c>
      <c r="G162" s="113" t="s">
        <v>85</v>
      </c>
      <c r="H162" s="113" t="s">
        <v>87</v>
      </c>
      <c r="I162" s="113" t="s">
        <v>88</v>
      </c>
      <c r="J162" s="113" t="s">
        <v>89</v>
      </c>
      <c r="K162" s="113" t="s">
        <v>90</v>
      </c>
      <c r="L162" s="113" t="s">
        <v>91</v>
      </c>
      <c r="M162" s="113" t="s">
        <v>93</v>
      </c>
      <c r="N162" s="113" t="s">
        <v>94</v>
      </c>
      <c r="O162" s="113" t="s">
        <v>95</v>
      </c>
      <c r="P162" s="113" t="s">
        <v>97</v>
      </c>
      <c r="Q162" s="519"/>
    </row>
    <row r="163" spans="1:17" ht="14.25">
      <c r="A163" s="467"/>
      <c r="B163" s="468"/>
      <c r="C163" s="462" t="s">
        <v>98</v>
      </c>
      <c r="D163" s="462" t="s">
        <v>99</v>
      </c>
      <c r="E163" s="462" t="s">
        <v>100</v>
      </c>
      <c r="F163" s="462" t="s">
        <v>101</v>
      </c>
      <c r="G163" s="517" t="s">
        <v>103</v>
      </c>
      <c r="H163" s="462" t="s">
        <v>105</v>
      </c>
      <c r="I163" s="462" t="s">
        <v>106</v>
      </c>
      <c r="J163" s="462" t="s">
        <v>107</v>
      </c>
      <c r="K163" s="462" t="s">
        <v>108</v>
      </c>
      <c r="L163" s="462" t="s">
        <v>288</v>
      </c>
      <c r="M163" s="462" t="s">
        <v>111</v>
      </c>
      <c r="N163" s="462" t="s">
        <v>112</v>
      </c>
      <c r="O163" s="462" t="s">
        <v>113</v>
      </c>
      <c r="P163" s="462" t="s">
        <v>115</v>
      </c>
      <c r="Q163" s="519"/>
    </row>
    <row r="164" spans="1:17" ht="14.25">
      <c r="A164" s="467"/>
      <c r="B164" s="468"/>
      <c r="C164" s="462"/>
      <c r="D164" s="462"/>
      <c r="E164" s="462"/>
      <c r="F164" s="462"/>
      <c r="G164" s="517"/>
      <c r="H164" s="462"/>
      <c r="I164" s="462"/>
      <c r="J164" s="462"/>
      <c r="K164" s="462"/>
      <c r="L164" s="462"/>
      <c r="M164" s="462"/>
      <c r="N164" s="462"/>
      <c r="O164" s="462"/>
      <c r="P164" s="462"/>
      <c r="Q164" s="519"/>
    </row>
    <row r="165" spans="1:17" ht="14.25">
      <c r="A165" s="467"/>
      <c r="B165" s="468"/>
      <c r="C165" s="462"/>
      <c r="D165" s="462"/>
      <c r="E165" s="462"/>
      <c r="F165" s="462"/>
      <c r="G165" s="517"/>
      <c r="H165" s="462"/>
      <c r="I165" s="462"/>
      <c r="J165" s="462"/>
      <c r="K165" s="462"/>
      <c r="L165" s="462"/>
      <c r="M165" s="462"/>
      <c r="N165" s="462"/>
      <c r="O165" s="462"/>
      <c r="P165" s="462"/>
      <c r="Q165" s="519"/>
    </row>
    <row r="166" spans="1:17" ht="14.25">
      <c r="A166" s="467"/>
      <c r="B166" s="468"/>
      <c r="C166" s="516"/>
      <c r="D166" s="516"/>
      <c r="E166" s="516"/>
      <c r="F166" s="516"/>
      <c r="G166" s="518"/>
      <c r="H166" s="516"/>
      <c r="I166" s="516"/>
      <c r="J166" s="516"/>
      <c r="K166" s="516"/>
      <c r="L166" s="516"/>
      <c r="M166" s="516"/>
      <c r="N166" s="516"/>
      <c r="O166" s="516"/>
      <c r="P166" s="516"/>
      <c r="Q166" s="520"/>
    </row>
    <row r="167" spans="1:17" ht="14.25">
      <c r="A167" s="115" t="s">
        <v>213</v>
      </c>
      <c r="B167" s="151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8"/>
      <c r="Q167" s="325">
        <f>SUM(C167:P167)</f>
        <v>0</v>
      </c>
    </row>
    <row r="168" spans="1:17" ht="14.25">
      <c r="A168" s="145" t="s">
        <v>414</v>
      </c>
      <c r="B168" s="145"/>
      <c r="C168" s="122"/>
      <c r="D168" s="122"/>
      <c r="E168" s="122"/>
      <c r="F168" s="122"/>
      <c r="G168" s="122">
        <v>0</v>
      </c>
      <c r="H168" s="122"/>
      <c r="I168" s="122"/>
      <c r="J168" s="122">
        <v>0</v>
      </c>
      <c r="K168" s="122"/>
      <c r="L168" s="122"/>
      <c r="M168" s="122"/>
      <c r="N168" s="122"/>
      <c r="O168" s="122"/>
      <c r="P168" s="123"/>
      <c r="Q168" s="157">
        <f>SUM(C168:P168)</f>
        <v>0</v>
      </c>
    </row>
    <row r="169" spans="1:17" ht="14.25">
      <c r="A169" s="120"/>
      <c r="B169" s="254" t="s">
        <v>297</v>
      </c>
      <c r="C169" s="122"/>
      <c r="D169" s="122"/>
      <c r="E169" s="122"/>
      <c r="F169" s="122"/>
      <c r="G169" s="122"/>
      <c r="H169" s="122"/>
      <c r="I169" s="122"/>
      <c r="J169" s="122">
        <v>0</v>
      </c>
      <c r="K169" s="122"/>
      <c r="L169" s="122"/>
      <c r="M169" s="122"/>
      <c r="N169" s="122"/>
      <c r="O169" s="122"/>
      <c r="P169" s="123"/>
      <c r="Q169" s="157"/>
    </row>
    <row r="170" spans="1:17" ht="14.25">
      <c r="A170" s="120" t="s">
        <v>120</v>
      </c>
      <c r="B170" s="145"/>
      <c r="C170" s="119">
        <f>SUM(C167:C168)</f>
        <v>0</v>
      </c>
      <c r="D170" s="119">
        <f>SUM(D167:D168)</f>
        <v>0</v>
      </c>
      <c r="E170" s="119">
        <f>SUM(E167:E168)</f>
        <v>0</v>
      </c>
      <c r="F170" s="119">
        <f>SUM(F167:F168)</f>
        <v>0</v>
      </c>
      <c r="G170" s="119">
        <v>0</v>
      </c>
      <c r="H170" s="119">
        <f>SUM(H167:H168)</f>
        <v>0</v>
      </c>
      <c r="I170" s="119"/>
      <c r="J170" s="328">
        <f>SUM(J167+J169)</f>
        <v>0</v>
      </c>
      <c r="K170" s="119">
        <f aca="true" t="shared" si="22" ref="K170:P170">SUM(K167:K168)</f>
        <v>0</v>
      </c>
      <c r="L170" s="119">
        <f t="shared" si="22"/>
        <v>0</v>
      </c>
      <c r="M170" s="119">
        <f t="shared" si="22"/>
        <v>0</v>
      </c>
      <c r="N170" s="119">
        <f t="shared" si="22"/>
        <v>0</v>
      </c>
      <c r="O170" s="119">
        <f t="shared" si="22"/>
        <v>0</v>
      </c>
      <c r="P170" s="133">
        <f t="shared" si="22"/>
        <v>0</v>
      </c>
      <c r="Q170" s="157">
        <f>SUM(C170:P170)</f>
        <v>0</v>
      </c>
    </row>
    <row r="171" spans="1:17" ht="14.25">
      <c r="A171" s="134" t="s">
        <v>121</v>
      </c>
      <c r="B171" s="147"/>
      <c r="C171" s="129">
        <v>0</v>
      </c>
      <c r="D171" s="129"/>
      <c r="E171" s="129"/>
      <c r="F171" s="129"/>
      <c r="G171" s="129"/>
      <c r="H171" s="129"/>
      <c r="I171" s="129"/>
      <c r="J171" s="129">
        <f>4630000</f>
        <v>4630000</v>
      </c>
      <c r="K171" s="129"/>
      <c r="L171" s="129"/>
      <c r="M171" s="129"/>
      <c r="N171" s="129"/>
      <c r="O171" s="129"/>
      <c r="P171" s="136"/>
      <c r="Q171" s="333">
        <f>SUM(C171:P171)</f>
        <v>4630000</v>
      </c>
    </row>
    <row r="172" spans="1:20" ht="14.25">
      <c r="A172" s="326"/>
      <c r="B172" s="327" t="s">
        <v>160</v>
      </c>
      <c r="C172" s="328">
        <f>SUM(C147+C138+C114+C109+C95+C77+C65+C59+C27+C38+C57+C170)</f>
        <v>651456.95</v>
      </c>
      <c r="D172" s="328">
        <f>SUM(D147+D138+D114+D109+D95+D77+D65+D59+D27+D38+D57+D170)</f>
        <v>167290.9</v>
      </c>
      <c r="E172" s="328">
        <f aca="true" t="shared" si="23" ref="E172:O172">SUM(E147+E138+E114+E109+E95+E77+E65+E59+E27+E38+E57+E170)</f>
        <v>0</v>
      </c>
      <c r="F172" s="328">
        <f t="shared" si="23"/>
        <v>0</v>
      </c>
      <c r="G172" s="328">
        <f>SUM(G147+G138+G114+G109+G95+G77+G65+G59+G27+G38+G57+G170+G101)</f>
        <v>284090</v>
      </c>
      <c r="H172" s="328">
        <f t="shared" si="23"/>
        <v>18000</v>
      </c>
      <c r="I172" s="328">
        <f t="shared" si="23"/>
        <v>162879.5</v>
      </c>
      <c r="J172" s="328">
        <f>SUM(J143+J147+J138+J114+J109+J95+J77+J65+J59+J27+J38+J57+J170)</f>
        <v>0</v>
      </c>
      <c r="K172" s="328">
        <f t="shared" si="23"/>
        <v>261619.74</v>
      </c>
      <c r="L172" s="328">
        <f t="shared" si="23"/>
        <v>71920</v>
      </c>
      <c r="M172" s="328">
        <f t="shared" si="23"/>
        <v>0</v>
      </c>
      <c r="N172" s="328">
        <f t="shared" si="23"/>
        <v>0</v>
      </c>
      <c r="O172" s="328">
        <f t="shared" si="23"/>
        <v>0</v>
      </c>
      <c r="P172" s="328">
        <f>SUM(P147+P138+P114+P109+P95+P77+P65+P59+P27+P38+P57+P170+P21)</f>
        <v>566002</v>
      </c>
      <c r="Q172" s="330">
        <f>SUM(Q21+Q27+Q38+Q57+Q65+Q77+Q95+Q101+Q109+Q114+Q143+Q147+Q170)</f>
        <v>2183259.09</v>
      </c>
      <c r="R172" s="327" t="s">
        <v>160</v>
      </c>
      <c r="S172" s="2">
        <v>35810858.47</v>
      </c>
      <c r="T172" s="1">
        <v>35841558.47</v>
      </c>
    </row>
    <row r="173" spans="1:20" ht="14.25">
      <c r="A173" s="127"/>
      <c r="B173" s="332" t="s">
        <v>161</v>
      </c>
      <c r="C173" s="129">
        <f aca="true" t="shared" si="24" ref="C173:I173">SUM(C148+C139+C115+C110+C102+C96+C78+C66+C58+C39+C28+C22)</f>
        <v>7365320.0600000005</v>
      </c>
      <c r="D173" s="129">
        <f t="shared" si="24"/>
        <v>1651606.9</v>
      </c>
      <c r="E173" s="129">
        <f t="shared" si="24"/>
        <v>0</v>
      </c>
      <c r="F173" s="129">
        <f t="shared" si="24"/>
        <v>166830</v>
      </c>
      <c r="G173" s="129">
        <f>SUM(G148+G139+G115+G110+G102+G96+G78+G66+G58+G39+G28+G22)</f>
        <v>4384221.359999999</v>
      </c>
      <c r="H173" s="129">
        <f t="shared" si="24"/>
        <v>189080</v>
      </c>
      <c r="I173" s="129">
        <f t="shared" si="24"/>
        <v>1734541.3</v>
      </c>
      <c r="J173" s="364">
        <f>SUM(J171+J148+J144+J139+J115+J110+J102+J96+J78+J66+J58+J39+J28+J22)</f>
        <v>11363818</v>
      </c>
      <c r="K173" s="129">
        <f>SUM(K148+K139+K115+K110+K102+K96+K78+K66+K58+K39+K28+K22)</f>
        <v>3781686.13</v>
      </c>
      <c r="L173" s="129">
        <f>SUM(L148+L139+L115+L110+L102+L96+L78+L66+L58+L39+L28+L22)</f>
        <v>102470</v>
      </c>
      <c r="M173" s="129">
        <f>SUM(M172+M148+M139+M115+M110+M102+M96+M78+M66+M58+M39+M28+M22)</f>
        <v>0</v>
      </c>
      <c r="N173" s="129">
        <f>SUM(N148+N139+N115+N110+N102+N96+N78+N66+N58+N39+N28+N22)</f>
        <v>990794.4</v>
      </c>
      <c r="O173" s="129">
        <f>SUM(O172+O148+O139+O115+O110+O102+O96+O78+O66+O58+O39+O28+O22)</f>
        <v>0</v>
      </c>
      <c r="P173" s="129">
        <f>SUM(P148+P139+P115+P110+P102+P96+P78+P66+P58+P39+P28+P22)</f>
        <v>6294449.41</v>
      </c>
      <c r="Q173" s="333">
        <f>SUM(Q171+Q148+Q144+Q139+Q110+Q102+Q96+Q78+Q66+Q58+Q39+Q28+Q22+Q115)</f>
        <v>38024817.56</v>
      </c>
      <c r="R173" s="332" t="s">
        <v>161</v>
      </c>
      <c r="S173" s="2">
        <v>29346810.51</v>
      </c>
      <c r="T173" s="1">
        <v>35810858.47</v>
      </c>
    </row>
    <row r="174" spans="1:18" ht="14.25">
      <c r="A174" s="185"/>
      <c r="B174" s="373"/>
      <c r="C174" s="56"/>
      <c r="D174" s="56"/>
      <c r="E174" s="56"/>
      <c r="F174" s="56"/>
      <c r="G174" s="56"/>
      <c r="H174" s="56"/>
      <c r="I174" s="56"/>
      <c r="J174" s="374"/>
      <c r="K174" s="56"/>
      <c r="L174" s="56"/>
      <c r="M174" s="56"/>
      <c r="N174" s="56"/>
      <c r="O174" s="56"/>
      <c r="P174" s="56"/>
      <c r="Q174" s="56"/>
      <c r="R174" s="373"/>
    </row>
    <row r="175" spans="1:18" ht="14.25">
      <c r="A175" s="185"/>
      <c r="B175" s="373"/>
      <c r="C175" s="56"/>
      <c r="D175" s="56"/>
      <c r="E175" s="56"/>
      <c r="F175" s="56"/>
      <c r="G175" s="56"/>
      <c r="H175" s="56"/>
      <c r="I175" s="56"/>
      <c r="J175" s="374"/>
      <c r="K175" s="56"/>
      <c r="L175" s="56"/>
      <c r="M175" s="56"/>
      <c r="N175" s="56"/>
      <c r="O175" s="56"/>
      <c r="P175" s="56"/>
      <c r="Q175" s="56"/>
      <c r="R175" s="373"/>
    </row>
    <row r="176" spans="19:20" ht="14.25">
      <c r="S176" s="2">
        <f>SUM(S172-S173)</f>
        <v>6464047.959999997</v>
      </c>
      <c r="T176" s="2">
        <f>SUM(T172-T173)</f>
        <v>30700</v>
      </c>
    </row>
    <row r="177" spans="3:16" ht="14.25">
      <c r="C177" s="461" t="s">
        <v>314</v>
      </c>
      <c r="D177" s="461"/>
      <c r="E177" s="461"/>
      <c r="H177" s="461" t="s">
        <v>314</v>
      </c>
      <c r="I177" s="461"/>
      <c r="J177" s="461"/>
      <c r="N177" s="461" t="s">
        <v>314</v>
      </c>
      <c r="O177" s="461"/>
      <c r="P177" s="461"/>
    </row>
    <row r="178" spans="3:16" ht="14.25">
      <c r="C178" s="461" t="s">
        <v>203</v>
      </c>
      <c r="D178" s="461"/>
      <c r="E178" s="461"/>
      <c r="H178" s="461" t="s">
        <v>203</v>
      </c>
      <c r="I178" s="461"/>
      <c r="J178" s="461"/>
      <c r="N178" s="461" t="s">
        <v>293</v>
      </c>
      <c r="O178" s="461"/>
      <c r="P178" s="461"/>
    </row>
    <row r="179" spans="3:16" ht="14.25">
      <c r="C179" s="461" t="s">
        <v>207</v>
      </c>
      <c r="D179" s="461"/>
      <c r="E179" s="461"/>
      <c r="H179" s="461" t="s">
        <v>292</v>
      </c>
      <c r="I179" s="461"/>
      <c r="J179" s="461"/>
      <c r="N179" s="461" t="s">
        <v>208</v>
      </c>
      <c r="O179" s="461"/>
      <c r="P179" s="461"/>
    </row>
    <row r="180" spans="3:5" ht="14.25">
      <c r="C180" s="461" t="s">
        <v>211</v>
      </c>
      <c r="D180" s="461"/>
      <c r="E180" s="461"/>
    </row>
  </sheetData>
  <sheetProtection/>
  <mergeCells count="172">
    <mergeCell ref="V4:W12"/>
    <mergeCell ref="V41:W49"/>
    <mergeCell ref="V80:W88"/>
    <mergeCell ref="V119:W127"/>
    <mergeCell ref="N152:P152"/>
    <mergeCell ref="N153:P153"/>
    <mergeCell ref="O5:O7"/>
    <mergeCell ref="P5:P7"/>
    <mergeCell ref="O9:O12"/>
    <mergeCell ref="P9:P12"/>
    <mergeCell ref="Q80:Q88"/>
    <mergeCell ref="N85:N88"/>
    <mergeCell ref="O85:O88"/>
    <mergeCell ref="P85:P88"/>
    <mergeCell ref="Q119:Q127"/>
    <mergeCell ref="N155:P155"/>
    <mergeCell ref="M81:N83"/>
    <mergeCell ref="O81:O83"/>
    <mergeCell ref="P81:P83"/>
    <mergeCell ref="M124:M127"/>
    <mergeCell ref="C152:E152"/>
    <mergeCell ref="C153:E153"/>
    <mergeCell ref="C155:E155"/>
    <mergeCell ref="C156:E156"/>
    <mergeCell ref="H152:J152"/>
    <mergeCell ref="H153:J153"/>
    <mergeCell ref="H155:J155"/>
    <mergeCell ref="A1:Q1"/>
    <mergeCell ref="A2:Q2"/>
    <mergeCell ref="A3:Q3"/>
    <mergeCell ref="A4:B12"/>
    <mergeCell ref="C4:D4"/>
    <mergeCell ref="E4:F4"/>
    <mergeCell ref="I4:K4"/>
    <mergeCell ref="M4:N4"/>
    <mergeCell ref="Q4:Q12"/>
    <mergeCell ref="C5:D7"/>
    <mergeCell ref="E5:F7"/>
    <mergeCell ref="G5:G7"/>
    <mergeCell ref="H5:H7"/>
    <mergeCell ref="I5:K7"/>
    <mergeCell ref="L5:L7"/>
    <mergeCell ref="M5:N7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N9:N12"/>
    <mergeCell ref="A41:B49"/>
    <mergeCell ref="C41:D41"/>
    <mergeCell ref="E41:F41"/>
    <mergeCell ref="I41:K41"/>
    <mergeCell ref="M41:N41"/>
    <mergeCell ref="Q41:Q49"/>
    <mergeCell ref="C42:D44"/>
    <mergeCell ref="E42:F44"/>
    <mergeCell ref="G42:G44"/>
    <mergeCell ref="H42:H44"/>
    <mergeCell ref="I42:K44"/>
    <mergeCell ref="L42:L44"/>
    <mergeCell ref="M42:N44"/>
    <mergeCell ref="O42:O44"/>
    <mergeCell ref="P42:P44"/>
    <mergeCell ref="C46:C49"/>
    <mergeCell ref="D46:D49"/>
    <mergeCell ref="E46:E49"/>
    <mergeCell ref="F46:F49"/>
    <mergeCell ref="G46:G49"/>
    <mergeCell ref="H46:H49"/>
    <mergeCell ref="I46:I49"/>
    <mergeCell ref="J46:J49"/>
    <mergeCell ref="K46:K49"/>
    <mergeCell ref="L46:L49"/>
    <mergeCell ref="M46:M49"/>
    <mergeCell ref="N46:N49"/>
    <mergeCell ref="O46:O49"/>
    <mergeCell ref="P46:P49"/>
    <mergeCell ref="A80:B88"/>
    <mergeCell ref="C80:D80"/>
    <mergeCell ref="E80:F80"/>
    <mergeCell ref="I80:K80"/>
    <mergeCell ref="M80:N80"/>
    <mergeCell ref="C85:C88"/>
    <mergeCell ref="D85:D88"/>
    <mergeCell ref="C81:D83"/>
    <mergeCell ref="E81:F83"/>
    <mergeCell ref="G81:G83"/>
    <mergeCell ref="H81:H83"/>
    <mergeCell ref="I81:K83"/>
    <mergeCell ref="L81:L83"/>
    <mergeCell ref="E85:E88"/>
    <mergeCell ref="F85:F88"/>
    <mergeCell ref="G85:G88"/>
    <mergeCell ref="H85:H88"/>
    <mergeCell ref="I85:I88"/>
    <mergeCell ref="J85:J88"/>
    <mergeCell ref="K85:K88"/>
    <mergeCell ref="L85:L88"/>
    <mergeCell ref="M85:M88"/>
    <mergeCell ref="O124:O127"/>
    <mergeCell ref="P124:P127"/>
    <mergeCell ref="H124:H127"/>
    <mergeCell ref="I124:I127"/>
    <mergeCell ref="J124:J127"/>
    <mergeCell ref="K124:K127"/>
    <mergeCell ref="L124:L127"/>
    <mergeCell ref="P120:P122"/>
    <mergeCell ref="A119:B127"/>
    <mergeCell ref="C119:D119"/>
    <mergeCell ref="E119:F119"/>
    <mergeCell ref="I119:K119"/>
    <mergeCell ref="M119:N119"/>
    <mergeCell ref="C124:C127"/>
    <mergeCell ref="D124:D127"/>
    <mergeCell ref="C120:D122"/>
    <mergeCell ref="E120:F122"/>
    <mergeCell ref="E124:E127"/>
    <mergeCell ref="F124:F127"/>
    <mergeCell ref="G124:G127"/>
    <mergeCell ref="N124:N127"/>
    <mergeCell ref="M120:N122"/>
    <mergeCell ref="O120:O122"/>
    <mergeCell ref="G120:G122"/>
    <mergeCell ref="H120:H122"/>
    <mergeCell ref="I120:K122"/>
    <mergeCell ref="L120:L122"/>
    <mergeCell ref="A158:B166"/>
    <mergeCell ref="C158:D158"/>
    <mergeCell ref="E158:F158"/>
    <mergeCell ref="I158:K158"/>
    <mergeCell ref="M158:N158"/>
    <mergeCell ref="Q158:Q166"/>
    <mergeCell ref="C159:D161"/>
    <mergeCell ref="E159:F161"/>
    <mergeCell ref="G159:G161"/>
    <mergeCell ref="H159:H161"/>
    <mergeCell ref="P159:P161"/>
    <mergeCell ref="C163:C166"/>
    <mergeCell ref="D163:D166"/>
    <mergeCell ref="E163:E166"/>
    <mergeCell ref="F163:F166"/>
    <mergeCell ref="G163:G166"/>
    <mergeCell ref="L163:L166"/>
    <mergeCell ref="M163:M166"/>
    <mergeCell ref="I159:K161"/>
    <mergeCell ref="L159:L161"/>
    <mergeCell ref="M159:N161"/>
    <mergeCell ref="O159:O161"/>
    <mergeCell ref="N163:N166"/>
    <mergeCell ref="O163:O166"/>
    <mergeCell ref="P163:P166"/>
    <mergeCell ref="C177:E177"/>
    <mergeCell ref="H177:J177"/>
    <mergeCell ref="N177:P177"/>
    <mergeCell ref="H163:H166"/>
    <mergeCell ref="I163:I166"/>
    <mergeCell ref="J163:J166"/>
    <mergeCell ref="K163:K166"/>
    <mergeCell ref="C180:E180"/>
    <mergeCell ref="C178:E178"/>
    <mergeCell ref="H178:J178"/>
    <mergeCell ref="N178:P178"/>
    <mergeCell ref="C179:E179"/>
    <mergeCell ref="H179:J179"/>
    <mergeCell ref="N179:P179"/>
  </mergeCells>
  <printOptions/>
  <pageMargins left="0.26" right="0.15" top="0.33" bottom="0.16" header="0.2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KKD Windows 7 V.3</cp:lastModifiedBy>
  <cp:lastPrinted>2019-08-06T06:44:57Z</cp:lastPrinted>
  <dcterms:created xsi:type="dcterms:W3CDTF">2013-06-07T04:08:05Z</dcterms:created>
  <dcterms:modified xsi:type="dcterms:W3CDTF">2019-08-07T08:23:56Z</dcterms:modified>
  <cp:category/>
  <cp:version/>
  <cp:contentType/>
  <cp:contentStatus/>
</cp:coreProperties>
</file>